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02. DSCR\"/>
    </mc:Choice>
  </mc:AlternateContent>
  <bookViews>
    <workbookView xWindow="0" yWindow="0" windowWidth="11558" windowHeight="10493" tabRatio="864"/>
  </bookViews>
  <sheets>
    <sheet name="Cover" sheetId="52" r:id="rId1"/>
    <sheet name="DSCR" sheetId="55" r:id="rId2"/>
  </sheets>
  <definedNames>
    <definedName name="Constant.QuartersInYear">DSCR!$F$11</definedName>
    <definedName name="Constants.MonthsInQuarter">DSCR!$F$12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72" i="55" l="1"/>
  <c r="X72" i="55"/>
  <c r="W72" i="55"/>
  <c r="V72" i="55"/>
  <c r="U72" i="55"/>
  <c r="T72" i="55"/>
  <c r="S72" i="55"/>
  <c r="R72" i="55"/>
  <c r="Q72" i="55"/>
  <c r="P72" i="55"/>
  <c r="O72" i="55"/>
  <c r="N72" i="55"/>
  <c r="M72" i="55"/>
  <c r="L72" i="55"/>
  <c r="K72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M63" i="55"/>
  <c r="L63" i="55"/>
  <c r="K63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K39" i="55"/>
  <c r="L39" i="55"/>
  <c r="M39" i="55"/>
  <c r="K70" i="55"/>
  <c r="N39" i="55"/>
  <c r="L70" i="55"/>
  <c r="O39" i="55"/>
  <c r="M70" i="55"/>
  <c r="P39" i="55"/>
  <c r="N70" i="55"/>
  <c r="Q39" i="55"/>
  <c r="O70" i="55"/>
  <c r="R39" i="55"/>
  <c r="P70" i="55"/>
  <c r="S39" i="55"/>
  <c r="Q70" i="55"/>
  <c r="T39" i="55"/>
  <c r="R70" i="55"/>
  <c r="U39" i="55"/>
  <c r="S70" i="55"/>
  <c r="V39" i="55"/>
  <c r="T70" i="55"/>
  <c r="W39" i="55"/>
  <c r="U70" i="55"/>
  <c r="X39" i="55"/>
  <c r="V70" i="55"/>
  <c r="Y39" i="55"/>
  <c r="W70" i="55"/>
  <c r="X70" i="55"/>
  <c r="Y70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M60" i="55"/>
  <c r="L60" i="55"/>
  <c r="K60" i="55"/>
  <c r="L51" i="55"/>
  <c r="M51" i="55"/>
  <c r="N51" i="55"/>
  <c r="O51" i="55"/>
  <c r="P51" i="55"/>
  <c r="Q51" i="55"/>
  <c r="R51" i="55"/>
  <c r="S51" i="55"/>
  <c r="T51" i="55"/>
  <c r="U51" i="55"/>
  <c r="V51" i="55"/>
  <c r="W51" i="55"/>
  <c r="X51" i="55"/>
  <c r="Y51" i="55"/>
  <c r="K51" i="55"/>
  <c r="K76" i="55"/>
  <c r="F30" i="55"/>
  <c r="X30" i="55"/>
  <c r="X43" i="55"/>
  <c r="X31" i="55"/>
  <c r="X44" i="55"/>
  <c r="X45" i="55"/>
  <c r="Y30" i="55"/>
  <c r="Y43" i="55"/>
  <c r="Y31" i="55"/>
  <c r="Y44" i="55"/>
  <c r="Y45" i="55"/>
  <c r="Y71" i="55"/>
  <c r="Y79" i="55"/>
  <c r="W30" i="55"/>
  <c r="W43" i="55"/>
  <c r="F31" i="55"/>
  <c r="W31" i="55"/>
  <c r="W44" i="55"/>
  <c r="W45" i="55"/>
  <c r="X71" i="55"/>
  <c r="X79" i="55"/>
  <c r="V30" i="55"/>
  <c r="V43" i="55"/>
  <c r="V31" i="55"/>
  <c r="V44" i="55"/>
  <c r="V45" i="55"/>
  <c r="W71" i="55"/>
  <c r="W79" i="55"/>
  <c r="U30" i="55"/>
  <c r="U43" i="55"/>
  <c r="U31" i="55"/>
  <c r="U44" i="55"/>
  <c r="U45" i="55"/>
  <c r="V71" i="55"/>
  <c r="V79" i="55"/>
  <c r="T30" i="55"/>
  <c r="T43" i="55"/>
  <c r="T31" i="55"/>
  <c r="T44" i="55"/>
  <c r="T45" i="55"/>
  <c r="U71" i="55"/>
  <c r="U79" i="55"/>
  <c r="S30" i="55"/>
  <c r="S43" i="55"/>
  <c r="S31" i="55"/>
  <c r="S44" i="55"/>
  <c r="S45" i="55"/>
  <c r="T71" i="55"/>
  <c r="T79" i="55"/>
  <c r="R30" i="55"/>
  <c r="R43" i="55"/>
  <c r="R31" i="55"/>
  <c r="R44" i="55"/>
  <c r="R45" i="55"/>
  <c r="S71" i="55"/>
  <c r="S79" i="55"/>
  <c r="Q30" i="55"/>
  <c r="Q43" i="55"/>
  <c r="Q31" i="55"/>
  <c r="Q44" i="55"/>
  <c r="Q45" i="55"/>
  <c r="R71" i="55"/>
  <c r="R79" i="55"/>
  <c r="P30" i="55"/>
  <c r="P43" i="55"/>
  <c r="P31" i="55"/>
  <c r="P44" i="55"/>
  <c r="P45" i="55"/>
  <c r="Q71" i="55"/>
  <c r="Q79" i="55"/>
  <c r="O30" i="55"/>
  <c r="O43" i="55"/>
  <c r="O31" i="55"/>
  <c r="O44" i="55"/>
  <c r="O45" i="55"/>
  <c r="P71" i="55"/>
  <c r="P79" i="55"/>
  <c r="N30" i="55"/>
  <c r="N43" i="55"/>
  <c r="N31" i="55"/>
  <c r="N44" i="55"/>
  <c r="N45" i="55"/>
  <c r="O71" i="55"/>
  <c r="O79" i="55"/>
  <c r="M30" i="55"/>
  <c r="M43" i="55"/>
  <c r="M31" i="55"/>
  <c r="M44" i="55"/>
  <c r="M45" i="55"/>
  <c r="N71" i="55"/>
  <c r="N79" i="55"/>
  <c r="L30" i="55"/>
  <c r="L43" i="55"/>
  <c r="L31" i="55"/>
  <c r="L44" i="55"/>
  <c r="L45" i="55"/>
  <c r="M71" i="55"/>
  <c r="M79" i="55"/>
  <c r="K30" i="55"/>
  <c r="K43" i="55"/>
  <c r="K31" i="55"/>
  <c r="K44" i="55"/>
  <c r="K45" i="55"/>
  <c r="L71" i="55"/>
  <c r="L79" i="55"/>
  <c r="Y62" i="55"/>
  <c r="Y61" i="55"/>
  <c r="Y78" i="55"/>
  <c r="X62" i="55"/>
  <c r="X61" i="55"/>
  <c r="X78" i="55"/>
  <c r="W62" i="55"/>
  <c r="W61" i="55"/>
  <c r="W78" i="55"/>
  <c r="V62" i="55"/>
  <c r="V61" i="55"/>
  <c r="V78" i="55"/>
  <c r="U62" i="55"/>
  <c r="U61" i="55"/>
  <c r="U78" i="55"/>
  <c r="T62" i="55"/>
  <c r="T61" i="55"/>
  <c r="T78" i="55"/>
  <c r="S62" i="55"/>
  <c r="S61" i="55"/>
  <c r="S78" i="55"/>
  <c r="R62" i="55"/>
  <c r="R61" i="55"/>
  <c r="R78" i="55"/>
  <c r="Q62" i="55"/>
  <c r="Q61" i="55"/>
  <c r="Q78" i="55"/>
  <c r="P62" i="55"/>
  <c r="P61" i="55"/>
  <c r="P78" i="55"/>
  <c r="O62" i="55"/>
  <c r="O61" i="55"/>
  <c r="O78" i="55"/>
  <c r="N62" i="55"/>
  <c r="N61" i="55"/>
  <c r="N78" i="55"/>
  <c r="M62" i="55"/>
  <c r="M61" i="55"/>
  <c r="M78" i="55"/>
  <c r="L62" i="55"/>
  <c r="L61" i="55"/>
  <c r="L78" i="55"/>
  <c r="Y53" i="55"/>
  <c r="Y52" i="55"/>
  <c r="Y77" i="55"/>
  <c r="X53" i="55"/>
  <c r="X52" i="55"/>
  <c r="X77" i="55"/>
  <c r="W53" i="55"/>
  <c r="W52" i="55"/>
  <c r="W77" i="55"/>
  <c r="V53" i="55"/>
  <c r="V52" i="55"/>
  <c r="V77" i="55"/>
  <c r="U53" i="55"/>
  <c r="U52" i="55"/>
  <c r="U77" i="55"/>
  <c r="T53" i="55"/>
  <c r="T52" i="55"/>
  <c r="T77" i="55"/>
  <c r="S53" i="55"/>
  <c r="S52" i="55"/>
  <c r="S77" i="55"/>
  <c r="R53" i="55"/>
  <c r="R52" i="55"/>
  <c r="R77" i="55"/>
  <c r="Q53" i="55"/>
  <c r="Q52" i="55"/>
  <c r="Q77" i="55"/>
  <c r="P53" i="55"/>
  <c r="P52" i="55"/>
  <c r="P77" i="55"/>
  <c r="O53" i="55"/>
  <c r="O52" i="55"/>
  <c r="O77" i="55"/>
  <c r="N53" i="55"/>
  <c r="N52" i="55"/>
  <c r="N77" i="55"/>
  <c r="M53" i="55"/>
  <c r="M52" i="55"/>
  <c r="M77" i="55"/>
  <c r="L53" i="55"/>
  <c r="L52" i="55"/>
  <c r="L77" i="55"/>
  <c r="K71" i="55"/>
  <c r="K79" i="55"/>
  <c r="K62" i="55"/>
  <c r="K61" i="55"/>
  <c r="K78" i="55"/>
  <c r="K53" i="55"/>
  <c r="K52" i="55"/>
  <c r="K77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M112" i="55"/>
  <c r="L112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M111" i="55"/>
  <c r="L111" i="55"/>
  <c r="K112" i="55"/>
  <c r="K111" i="55"/>
  <c r="J112" i="55"/>
  <c r="J111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M76" i="55"/>
  <c r="L76" i="55"/>
  <c r="G77" i="55"/>
  <c r="G78" i="55"/>
  <c r="G79" i="55"/>
  <c r="H77" i="55"/>
  <c r="H78" i="55"/>
  <c r="H79" i="55"/>
  <c r="E50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L14" i="55"/>
  <c r="M14" i="55"/>
  <c r="N14" i="55"/>
  <c r="O14" i="55"/>
  <c r="P14" i="55"/>
  <c r="Q14" i="55"/>
  <c r="R14" i="55"/>
  <c r="S14" i="55"/>
  <c r="T14" i="55"/>
  <c r="U14" i="55"/>
  <c r="V14" i="55"/>
  <c r="W14" i="55"/>
  <c r="X14" i="55"/>
  <c r="Y14" i="55"/>
  <c r="G72" i="55"/>
  <c r="H72" i="55"/>
  <c r="F72" i="55"/>
  <c r="E68" i="55"/>
  <c r="E59" i="55"/>
  <c r="K28" i="55"/>
  <c r="K42" i="55"/>
  <c r="K29" i="55"/>
  <c r="L27" i="55"/>
  <c r="L28" i="55"/>
  <c r="L42" i="55"/>
  <c r="L29" i="55"/>
  <c r="M27" i="55"/>
  <c r="M28" i="55"/>
  <c r="M42" i="55"/>
  <c r="M29" i="55"/>
  <c r="N27" i="55"/>
  <c r="N28" i="55"/>
  <c r="N42" i="55"/>
  <c r="N29" i="55"/>
  <c r="O27" i="55"/>
  <c r="O28" i="55"/>
  <c r="O42" i="55"/>
  <c r="O29" i="55"/>
  <c r="P27" i="55"/>
  <c r="P28" i="55"/>
  <c r="P42" i="55"/>
  <c r="P29" i="55"/>
  <c r="Q27" i="55"/>
  <c r="Q28" i="55"/>
  <c r="Q42" i="55"/>
  <c r="Q29" i="55"/>
  <c r="R27" i="55"/>
  <c r="R28" i="55"/>
  <c r="R42" i="55"/>
  <c r="R29" i="55"/>
  <c r="S27" i="55"/>
  <c r="S28" i="55"/>
  <c r="S42" i="55"/>
  <c r="S29" i="55"/>
  <c r="T27" i="55"/>
  <c r="T28" i="55"/>
  <c r="T42" i="55"/>
  <c r="T29" i="55"/>
  <c r="U27" i="55"/>
  <c r="U28" i="55"/>
  <c r="U42" i="55"/>
  <c r="U29" i="55"/>
  <c r="V27" i="55"/>
  <c r="V28" i="55"/>
  <c r="V42" i="55"/>
  <c r="V29" i="55"/>
  <c r="W27" i="55"/>
  <c r="W28" i="55"/>
  <c r="W42" i="55"/>
  <c r="W29" i="55"/>
  <c r="X27" i="55"/>
  <c r="X28" i="55"/>
  <c r="X42" i="55"/>
  <c r="X29" i="55"/>
  <c r="Y27" i="55"/>
  <c r="Y28" i="55"/>
  <c r="Y42" i="55"/>
  <c r="G63" i="55"/>
  <c r="L15" i="55"/>
  <c r="M15" i="55"/>
  <c r="N15" i="55"/>
  <c r="O15" i="55"/>
  <c r="P15" i="55"/>
  <c r="Q15" i="55"/>
  <c r="H63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G54" i="55"/>
  <c r="H54" i="55"/>
  <c r="L36" i="55"/>
  <c r="M36" i="55"/>
  <c r="N36" i="55"/>
  <c r="O36" i="55"/>
  <c r="P36" i="55"/>
  <c r="Q36" i="55"/>
  <c r="R15" i="55"/>
  <c r="R36" i="55"/>
  <c r="S15" i="55"/>
  <c r="S36" i="55"/>
  <c r="T15" i="55"/>
  <c r="T36" i="55"/>
  <c r="U15" i="55"/>
  <c r="U36" i="55"/>
  <c r="V15" i="55"/>
  <c r="V36" i="55"/>
  <c r="W15" i="55"/>
  <c r="W36" i="55"/>
  <c r="X15" i="55"/>
  <c r="X36" i="55"/>
  <c r="Y15" i="55"/>
  <c r="Y36" i="55"/>
  <c r="K36" i="55"/>
  <c r="H76" i="55"/>
  <c r="G76" i="55"/>
  <c r="D79" i="55"/>
  <c r="D78" i="55"/>
  <c r="D77" i="55"/>
  <c r="F63" i="55"/>
  <c r="F54" i="55"/>
  <c r="J45" i="55"/>
  <c r="J44" i="55"/>
  <c r="J43" i="55"/>
  <c r="J42" i="55"/>
  <c r="J31" i="55"/>
  <c r="J30" i="55"/>
  <c r="J28" i="55"/>
  <c r="Y29" i="55"/>
  <c r="M9" i="52"/>
</calcChain>
</file>

<file path=xl/sharedStrings.xml><?xml version="1.0" encoding="utf-8"?>
<sst xmlns="http://schemas.openxmlformats.org/spreadsheetml/2006/main" count="90" uniqueCount="42">
  <si>
    <t>$M</t>
  </si>
  <si>
    <t>Total</t>
  </si>
  <si>
    <t>Average</t>
  </si>
  <si>
    <t>CFADS</t>
  </si>
  <si>
    <t>Principal</t>
  </si>
  <si>
    <t>Senior Facility A</t>
  </si>
  <si>
    <t>Balance b/f</t>
  </si>
  <si>
    <t>Repayment</t>
  </si>
  <si>
    <t>Balance c/f</t>
  </si>
  <si>
    <t>Interest rate (total)</t>
  </si>
  <si>
    <t xml:space="preserve">Interest </t>
  </si>
  <si>
    <t xml:space="preserve">Repayments made over [X] </t>
  </si>
  <si>
    <t>% p.a.</t>
  </si>
  <si>
    <t>Quarters in a year</t>
  </si>
  <si>
    <t>Quarter ending</t>
  </si>
  <si>
    <t>Interest</t>
  </si>
  <si>
    <t>Fees</t>
  </si>
  <si>
    <t>Facility limit</t>
  </si>
  <si>
    <t>Commitment fee</t>
  </si>
  <si>
    <t>Debt service</t>
  </si>
  <si>
    <t>DSCR calculation</t>
  </si>
  <si>
    <t>Extracts required for calculation</t>
  </si>
  <si>
    <t>DSCR</t>
  </si>
  <si>
    <t>x</t>
  </si>
  <si>
    <t>Calculate ?</t>
  </si>
  <si>
    <t>[1,0]</t>
  </si>
  <si>
    <t>Min</t>
  </si>
  <si>
    <t>Min date</t>
  </si>
  <si>
    <t>Qtrs</t>
  </si>
  <si>
    <t>Summary</t>
  </si>
  <si>
    <t>Lock-up</t>
  </si>
  <si>
    <t>Default</t>
  </si>
  <si>
    <t>Months in a quarter</t>
  </si>
  <si>
    <t>Look-forward</t>
  </si>
  <si>
    <t>Periods assessed</t>
  </si>
  <si>
    <t>Look-back (inc. current)</t>
  </si>
  <si>
    <t>Quarter reference</t>
  </si>
  <si>
    <t>DSCR: 2 qtr back and 2 qtr forward</t>
  </si>
  <si>
    <t>DSCR: 4 qtr back</t>
  </si>
  <si>
    <t>Covenants</t>
  </si>
  <si>
    <t>Data for plot</t>
  </si>
  <si>
    <t>DSCR: In-period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</si>
</sst>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0.00&quot; x&quot;"/>
    <numFmt numFmtId="172" formatCode="&quot;&quot;"/>
    <numFmt numFmtId="173" formatCode="0&quot; x&quot;"/>
    <numFmt numFmtId="174" formatCode="0.00&quot; x&quot;;;#&quot;&quot;"/>
  </numFmts>
  <fonts count="33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C00000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A7A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</borders>
  <cellStyleXfs count="64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</cellStyleXfs>
  <cellXfs count="29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67" fontId="29" fillId="35" borderId="12" xfId="24" applyNumberFormat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70" fontId="20" fillId="0" borderId="11" xfId="56" applyNumberFormat="1"/>
    <xf numFmtId="167" fontId="27" fillId="37" borderId="12" xfId="25" applyNumberFormat="1"/>
    <xf numFmtId="170" fontId="29" fillId="35" borderId="12" xfId="24" applyNumberFormat="1"/>
    <xf numFmtId="170" fontId="0" fillId="0" borderId="0" xfId="0" quotePrefix="1"/>
    <xf numFmtId="170" fontId="21" fillId="0" borderId="9" xfId="53" applyNumberFormat="1"/>
    <xf numFmtId="170" fontId="0" fillId="0" borderId="0" xfId="0" applyFill="1" applyBorder="1"/>
    <xf numFmtId="10" fontId="29" fillId="35" borderId="12" xfId="24" applyNumberFormat="1"/>
    <xf numFmtId="170" fontId="21" fillId="9" borderId="12" xfId="26" applyNumberFormat="1"/>
    <xf numFmtId="0" fontId="31" fillId="0" borderId="0" xfId="63" applyFill="1">
      <alignment horizontal="left"/>
    </xf>
    <xf numFmtId="10" fontId="21" fillId="9" borderId="12" xfId="26" applyNumberFormat="1"/>
    <xf numFmtId="171" fontId="0" fillId="0" borderId="0" xfId="0" applyNumberFormat="1"/>
    <xf numFmtId="171" fontId="21" fillId="9" borderId="12" xfId="26" applyNumberFormat="1" applyAlignment="1">
      <alignment horizontal="center"/>
    </xf>
    <xf numFmtId="15" fontId="21" fillId="9" borderId="12" xfId="26" applyNumberFormat="1"/>
    <xf numFmtId="172" fontId="22" fillId="36" borderId="12" xfId="57" applyNumberFormat="1"/>
    <xf numFmtId="171" fontId="29" fillId="35" borderId="12" xfId="24" applyNumberFormat="1"/>
    <xf numFmtId="0" fontId="28" fillId="0" borderId="0" xfId="22" applyFill="1"/>
    <xf numFmtId="167" fontId="21" fillId="9" borderId="12" xfId="26" applyNumberFormat="1"/>
    <xf numFmtId="173" fontId="32" fillId="38" borderId="12" xfId="26" applyNumberFormat="1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27" fillId="37" borderId="12" xfId="25" applyNumberFormat="1"/>
  </cellXfs>
  <cellStyles count="64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/>
    <cellStyle name="Cell.Memo" xfId="22"/>
    <cellStyle name="Cell.System" xfId="25"/>
    <cellStyle name="Cell.Void" xfId="57"/>
    <cellStyle name="Check Cell" xfId="16" builtinId="23" hidden="1"/>
    <cellStyle name="Comma" xfId="1" builtinId="3" customBuiltin="1"/>
    <cellStyle name="Comma [0]" xfId="2" builtinId="6" customBuiltin="1"/>
    <cellStyle name="Comma 1dp" xfId="28"/>
    <cellStyle name="Comma 2dp" xfId="27"/>
    <cellStyle name="Currency" xfId="3" builtinId="4" hidden="1"/>
    <cellStyle name="Currency [0]" xfId="4" builtinId="7" hidden="1"/>
    <cellStyle name="Date" xfId="58"/>
    <cellStyle name="Explanatory Text" xfId="19" builtinId="53" hidden="1"/>
    <cellStyle name="Good" xfId="9" builtinId="26" hidden="1"/>
    <cellStyle name="Header.1" xfId="59"/>
    <cellStyle name="Header.2" xfId="63"/>
    <cellStyle name="Header.Sheet" xfId="21"/>
    <cellStyle name="Header.Table" xfId="54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/>
    <cellStyle name="Line.Calc" xfId="26"/>
    <cellStyle name="Line.Total.Multi" xfId="55"/>
    <cellStyle name="Line.Total.Simple" xfId="56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/>
    <cellStyle name="TabMinorLine" xfId="62"/>
    <cellStyle name="Title" xfId="5" builtinId="15" hidden="1" customBuiltin="1"/>
    <cellStyle name="Total" xfId="20" builtinId="25" hidden="1"/>
    <cellStyle name="Warning Text" xfId="17" builtinId="11" hidden="1"/>
  </cellStyles>
  <dxfs count="5"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theme="9" tint="-0.499984740745262"/>
      </font>
      <fill>
        <patternFill>
          <fgColor theme="0" tint="-0.24994659260841701"/>
          <bgColor theme="9" tint="0.59996337778862885"/>
        </patternFill>
      </fill>
      <border>
        <vertical/>
        <horizontal/>
      </border>
    </dxf>
    <dxf>
      <font>
        <color rgb="FFC6E0B4"/>
      </font>
      <fill>
        <patternFill>
          <fgColor theme="0" tint="-0.24994659260841701"/>
          <bgColor rgb="FFC6E0B4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</dxfs>
  <tableStyles count="0" defaultTableStyle="TableStyleMedium2" defaultPivotStyle="PivotStyleLight16"/>
  <colors>
    <mruColors>
      <color rgb="FFFFD1D1"/>
      <color rgb="FFF9F9F9"/>
      <color rgb="FFF6F6F6"/>
      <color rgb="FFFDFDFD"/>
      <color rgb="FFFFA7A9"/>
      <color rgb="FFC6E0B4"/>
      <color rgb="FFF79C57"/>
      <color rgb="FFD9D9D9"/>
      <color rgb="FFF2F2F2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/>
              <a:t>Cashflow and debt service</a:t>
            </a:r>
          </a:p>
        </c:rich>
      </c:tx>
      <c:layout>
        <c:manualLayout>
          <c:xMode val="edge"/>
          <c:yMode val="edge"/>
          <c:x val="4.8918716583218738E-2"/>
          <c:y val="1.4584227391744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96203163411047E-2"/>
          <c:y val="8.6224915162915555E-2"/>
          <c:w val="0.90624070170594828"/>
          <c:h val="0.67183408796589494"/>
        </c:manualLayout>
      </c:layout>
      <c:barChart>
        <c:barDir val="col"/>
        <c:grouping val="clustered"/>
        <c:varyColors val="0"/>
        <c:ser>
          <c:idx val="0"/>
          <c:order val="0"/>
          <c:tx>
            <c:v>CFADS</c:v>
          </c:tx>
          <c:spPr>
            <a:solidFill>
              <a:schemeClr val="accent5">
                <a:lumMod val="20000"/>
                <a:lumOff val="80000"/>
                <a:alpha val="28000"/>
              </a:schemeClr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numRef>
              <c:f>DSCR!$K$36:$Y$36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DSCR!$K$39:$Y$39</c:f>
              <c:numCache>
                <c:formatCode>#,##0.0_);\(#,##0.0\);"- "</c:formatCode>
                <c:ptCount val="1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13</c:v>
                </c:pt>
                <c:pt idx="6">
                  <c:v>17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559-9C80-28F8D3A16253}"/>
            </c:ext>
          </c:extLst>
        </c:ser>
        <c:ser>
          <c:idx val="1"/>
          <c:order val="1"/>
          <c:tx>
            <c:v>Debt service</c:v>
          </c:tx>
          <c:spPr>
            <a:solidFill>
              <a:schemeClr val="accent5">
                <a:alpha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DSCR!$K$36:$Y$36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DSCR!$K$45:$Y$45</c:f>
              <c:numCache>
                <c:formatCode>#,##0.0_);\(#,##0.0\);"- "</c:formatCode>
                <c:ptCount val="15"/>
                <c:pt idx="0">
                  <c:v>8.979807692307693</c:v>
                </c:pt>
                <c:pt idx="1">
                  <c:v>8.9028846153846164</c:v>
                </c:pt>
                <c:pt idx="2">
                  <c:v>8.825961538461538</c:v>
                </c:pt>
                <c:pt idx="3">
                  <c:v>8.7490384615384613</c:v>
                </c:pt>
                <c:pt idx="4">
                  <c:v>8.6721153846153847</c:v>
                </c:pt>
                <c:pt idx="5">
                  <c:v>8.595192307692308</c:v>
                </c:pt>
                <c:pt idx="6">
                  <c:v>8.5182692307692296</c:v>
                </c:pt>
                <c:pt idx="7">
                  <c:v>8.4413461538461547</c:v>
                </c:pt>
                <c:pt idx="8">
                  <c:v>8.3644230769230781</c:v>
                </c:pt>
                <c:pt idx="9">
                  <c:v>8.2874999999999996</c:v>
                </c:pt>
                <c:pt idx="10">
                  <c:v>8.210576923076923</c:v>
                </c:pt>
                <c:pt idx="11">
                  <c:v>8.1336538461538463</c:v>
                </c:pt>
                <c:pt idx="12">
                  <c:v>8.0567307692307573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A-4559-9C80-28F8D3A1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594972216"/>
        <c:axId val="594976808"/>
      </c:barChart>
      <c:lineChart>
        <c:grouping val="standard"/>
        <c:varyColors val="0"/>
        <c:ser>
          <c:idx val="2"/>
          <c:order val="2"/>
          <c:tx>
            <c:strRef>
              <c:f>DSCR!$D$77</c:f>
              <c:strCache>
                <c:ptCount val="1"/>
                <c:pt idx="0">
                  <c:v>DSCR: In-period</c:v>
                </c:pt>
              </c:strCache>
            </c:strRef>
          </c:tx>
          <c:spPr>
            <a:ln w="15875" cap="rnd" cmpd="sng">
              <a:solidFill>
                <a:schemeClr val="accent2">
                  <a:lumMod val="75000"/>
                  <a:lumOff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DSCR!$K$77:$Y$77</c:f>
              <c:numCache>
                <c:formatCode>0.00" x";;#""</c:formatCode>
                <c:ptCount val="15"/>
                <c:pt idx="0">
                  <c:v>2.2272191883499302</c:v>
                </c:pt>
                <c:pt idx="1">
                  <c:v>2.2464629009612267</c:v>
                </c:pt>
                <c:pt idx="2">
                  <c:v>2.2660420525111671</c:v>
                </c:pt>
                <c:pt idx="3">
                  <c:v>2.2859654907132652</c:v>
                </c:pt>
                <c:pt idx="4">
                  <c:v>2.3062423772036813</c:v>
                </c:pt>
                <c:pt idx="5">
                  <c:v>1.5124734310325538</c:v>
                </c:pt>
                <c:pt idx="6">
                  <c:v>1.9957105768145391</c:v>
                </c:pt>
                <c:pt idx="7">
                  <c:v>2.6062193871739376</c:v>
                </c:pt>
                <c:pt idx="8">
                  <c:v>2.6301873778595235</c:v>
                </c:pt>
                <c:pt idx="9">
                  <c:v>2.6546003016591251</c:v>
                </c:pt>
                <c:pt idx="10">
                  <c:v>2.6794706640121793</c:v>
                </c:pt>
                <c:pt idx="11">
                  <c:v>2.7048114434330297</c:v>
                </c:pt>
                <c:pt idx="12">
                  <c:v>2.7306361140947648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A-4559-9C80-28F8D3A16253}"/>
            </c:ext>
          </c:extLst>
        </c:ser>
        <c:ser>
          <c:idx val="3"/>
          <c:order val="3"/>
          <c:tx>
            <c:strRef>
              <c:f>DSCR!$D$78</c:f>
              <c:strCache>
                <c:ptCount val="1"/>
                <c:pt idx="0">
                  <c:v>DSCR: 4 qtr back</c:v>
                </c:pt>
              </c:strCache>
            </c:strRef>
          </c:tx>
          <c:spPr>
            <a:ln w="15875" cap="rnd" cmpd="sng">
              <a:solidFill>
                <a:schemeClr val="accent2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DSCR!$K$78:$Y$78</c:f>
              <c:numCache>
                <c:formatCode>0.00" x";;#""</c:formatCode>
                <c:ptCount val="15"/>
                <c:pt idx="0">
                  <c:v>2.2272191883499302</c:v>
                </c:pt>
                <c:pt idx="1">
                  <c:v>2.2367996558769758</c:v>
                </c:pt>
                <c:pt idx="2">
                  <c:v>2.2464629009612267</c:v>
                </c:pt>
                <c:pt idx="3">
                  <c:v>2.2562100010847161</c:v>
                </c:pt>
                <c:pt idx="4">
                  <c:v>2.2759601706970125</c:v>
                </c:pt>
                <c:pt idx="5">
                  <c:v>2.0951539905066783</c:v>
                </c:pt>
                <c:pt idx="6">
                  <c:v>2.0269517763670786</c:v>
                </c:pt>
                <c:pt idx="7">
                  <c:v>2.1036071468704347</c:v>
                </c:pt>
                <c:pt idx="8">
                  <c:v>2.1816532486676499</c:v>
                </c:pt>
                <c:pt idx="9">
                  <c:v>2.4693900903993593</c:v>
                </c:pt>
                <c:pt idx="10">
                  <c:v>2.6423374523617049</c:v>
                </c:pt>
                <c:pt idx="11">
                  <c:v>2.6669775032055019</c:v>
                </c:pt>
                <c:pt idx="12">
                  <c:v>2.6920814213436888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A-4559-9C80-28F8D3A16253}"/>
            </c:ext>
          </c:extLst>
        </c:ser>
        <c:ser>
          <c:idx val="4"/>
          <c:order val="4"/>
          <c:tx>
            <c:strRef>
              <c:f>DSCR!$D$79</c:f>
              <c:strCache>
                <c:ptCount val="1"/>
                <c:pt idx="0">
                  <c:v>DSCR: 2 qtr back and 2 qtr forward</c:v>
                </c:pt>
              </c:strCache>
            </c:strRef>
          </c:tx>
          <c:spPr>
            <a:ln w="15875" cap="rnd">
              <a:solidFill>
                <a:schemeClr val="accent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DSCR!$K$79:$Y$79</c:f>
              <c:numCache>
                <c:formatCode>0.00" x";;#""</c:formatCode>
                <c:ptCount val="15"/>
                <c:pt idx="0">
                  <c:v>2.2464629009612267</c:v>
                </c:pt>
                <c:pt idx="1">
                  <c:v>2.2562100010847161</c:v>
                </c:pt>
                <c:pt idx="2">
                  <c:v>2.2759601706970125</c:v>
                </c:pt>
                <c:pt idx="3">
                  <c:v>2.0951539905066783</c:v>
                </c:pt>
                <c:pt idx="4">
                  <c:v>2.026951776367079</c:v>
                </c:pt>
                <c:pt idx="5">
                  <c:v>2.1036071468704352</c:v>
                </c:pt>
                <c:pt idx="6">
                  <c:v>2.1816532486676499</c:v>
                </c:pt>
                <c:pt idx="7">
                  <c:v>2.4693900903993593</c:v>
                </c:pt>
                <c:pt idx="8">
                  <c:v>2.6423374523617049</c:v>
                </c:pt>
                <c:pt idx="9">
                  <c:v>2.6669775032055019</c:v>
                </c:pt>
                <c:pt idx="10">
                  <c:v>2.6920814213436888</c:v>
                </c:pt>
                <c:pt idx="11">
                  <c:v>2.704811443433031</c:v>
                </c:pt>
                <c:pt idx="12">
                  <c:v>2.7176624302173678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1A-4559-9C80-28F8D3A16253}"/>
            </c:ext>
          </c:extLst>
        </c:ser>
        <c:ser>
          <c:idx val="6"/>
          <c:order val="5"/>
          <c:tx>
            <c:strRef>
              <c:f>DSCR!$K$111:$Y$111</c:f>
              <c:strCache>
                <c:ptCount val="15"/>
                <c:pt idx="0">
                  <c:v>1.20 x</c:v>
                </c:pt>
                <c:pt idx="1">
                  <c:v>1.20 x</c:v>
                </c:pt>
                <c:pt idx="2">
                  <c:v>1.20 x</c:v>
                </c:pt>
                <c:pt idx="3">
                  <c:v>1.20 x</c:v>
                </c:pt>
                <c:pt idx="4">
                  <c:v>1.20 x</c:v>
                </c:pt>
                <c:pt idx="5">
                  <c:v>1.20 x</c:v>
                </c:pt>
                <c:pt idx="6">
                  <c:v>1.20 x</c:v>
                </c:pt>
                <c:pt idx="7">
                  <c:v>1.20 x</c:v>
                </c:pt>
                <c:pt idx="8">
                  <c:v>1.20 x</c:v>
                </c:pt>
                <c:pt idx="9">
                  <c:v>1.20 x</c:v>
                </c:pt>
                <c:pt idx="10">
                  <c:v>1.20 x</c:v>
                </c:pt>
                <c:pt idx="11">
                  <c:v>1.20 x</c:v>
                </c:pt>
                <c:pt idx="12">
                  <c:v>1.20 x</c:v>
                </c:pt>
                <c:pt idx="13">
                  <c:v>#N/A</c:v>
                </c:pt>
                <c:pt idx="14">
                  <c:v>#N/A</c:v>
                </c:pt>
              </c:strCache>
            </c:strRef>
          </c:tx>
          <c:spPr>
            <a:ln w="19050" cap="rnd">
              <a:solidFill>
                <a:srgbClr val="C00000">
                  <a:alpha val="46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DSCR!$K$111:$Y$111</c:f>
              <c:numCache>
                <c:formatCode>0.00" x";;#""</c:formatCode>
                <c:ptCount val="15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1A-4559-9C80-28F8D3A16253}"/>
            </c:ext>
          </c:extLst>
        </c:ser>
        <c:ser>
          <c:idx val="7"/>
          <c:order val="6"/>
          <c:tx>
            <c:strRef>
              <c:f>DSCR!$J$112</c:f>
              <c:strCache>
                <c:ptCount val="1"/>
                <c:pt idx="0">
                  <c:v>Default</c:v>
                </c:pt>
              </c:strCache>
            </c:strRef>
          </c:tx>
          <c:spPr>
            <a:ln w="19050" cap="rnd">
              <a:solidFill>
                <a:srgbClr val="C00000">
                  <a:alpha val="81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DSCR!$K$112:$Y$112</c:f>
              <c:numCache>
                <c:formatCode>0.00" x";;#""</c:formatCode>
                <c:ptCount val="15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1A-4559-9C80-28F8D3A1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947616"/>
        <c:axId val="594949912"/>
      </c:lineChart>
      <c:dateAx>
        <c:axId val="594972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6808"/>
        <c:crosses val="autoZero"/>
        <c:auto val="1"/>
        <c:lblOffset val="100"/>
        <c:baseTimeUnit val="months"/>
        <c:majorUnit val="3"/>
        <c:majorTimeUnit val="months"/>
        <c:minorUnit val="3"/>
        <c:minorTimeUnit val="months"/>
      </c:dateAx>
      <c:valAx>
        <c:axId val="59497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1"/>
                  <a:t>$  Million</a:t>
                </a:r>
              </a:p>
            </c:rich>
          </c:tx>
          <c:layout>
            <c:manualLayout>
              <c:xMode val="edge"/>
              <c:yMode val="edge"/>
              <c:x val="1.9078690289862016E-3"/>
              <c:y val="0.380416247243173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2216"/>
        <c:crosses val="autoZero"/>
        <c:crossBetween val="between"/>
      </c:valAx>
      <c:valAx>
        <c:axId val="594949912"/>
        <c:scaling>
          <c:orientation val="minMax"/>
          <c:min val="0.70000000000000007"/>
        </c:scaling>
        <c:delete val="0"/>
        <c:axPos val="r"/>
        <c:numFmt formatCode="0.00&quot; x&quot;;;#&quot;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47616"/>
        <c:crosses val="max"/>
        <c:crossBetween val="between"/>
      </c:valAx>
      <c:catAx>
        <c:axId val="5949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94949912"/>
        <c:crosses val="autoZero"/>
        <c:auto val="1"/>
        <c:lblAlgn val="ctr"/>
        <c:lblOffset val="100"/>
        <c:noMultiLvlLbl val="0"/>
      </c:catAx>
      <c:spPr>
        <a:solidFill>
          <a:srgbClr val="F9F9F9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3.3960788290852573E-3"/>
          <c:y val="0.83292539766006224"/>
          <c:w val="0.63175474272728716"/>
          <c:h val="0.1406419908793828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Project finance</a:t>
          </a:r>
          <a:r>
            <a:rPr lang="en-AU" sz="4000" b="0" baseline="0">
              <a:solidFill>
                <a:schemeClr val="bg1"/>
              </a:solidFill>
            </a:rPr>
            <a:t> modelling essentials.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Calculating</a:t>
          </a:r>
          <a:r>
            <a:rPr lang="en-AU" sz="2800" baseline="0">
              <a:solidFill>
                <a:schemeClr val="bg1"/>
              </a:solidFill>
            </a:rPr>
            <a:t> a Debt Service Cover Ratio (DSCR)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170338</xdr:colOff>
      <xdr:row>17</xdr:row>
      <xdr:rowOff>170329</xdr:rowOff>
    </xdr:from>
    <xdr:to>
      <xdr:col>14</xdr:col>
      <xdr:colOff>313773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814926" y="3218329"/>
          <a:ext cx="4903694" cy="627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Key</a:t>
          </a:r>
          <a:r>
            <a:rPr lang="en-AU" sz="2400" u="none" baseline="0">
              <a:solidFill>
                <a:schemeClr val="bg1"/>
              </a:solidFill>
            </a:rPr>
            <a:t> lines</a:t>
          </a:r>
          <a:endParaRPr lang="en-AU" sz="2400" u="none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215164</xdr:colOff>
      <xdr:row>21</xdr:row>
      <xdr:rowOff>81798</xdr:rowOff>
    </xdr:from>
    <xdr:to>
      <xdr:col>16</xdr:col>
      <xdr:colOff>349607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86915" y="3548898"/>
          <a:ext cx="5792292" cy="2040514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Calculating a DSCR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In period</a:t>
            </a:r>
          </a:p>
          <a:p>
            <a:r>
              <a:rPr lang="en-AU" sz="1800" b="0">
                <a:solidFill>
                  <a:schemeClr val="bg1"/>
                </a:solidFill>
              </a:rPr>
              <a:t>- Rolling 4-quarter</a:t>
            </a:r>
            <a:r>
              <a:rPr lang="en-AU" sz="1800" b="0" baseline="0">
                <a:solidFill>
                  <a:schemeClr val="bg1"/>
                </a:solidFill>
              </a:rPr>
              <a:t> lookback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Rolling 2-quarter lookback and 2-quarter</a:t>
            </a:r>
            <a:r>
              <a:rPr lang="en-AU" sz="1800" b="0" baseline="0">
                <a:solidFill>
                  <a:schemeClr val="bg1"/>
                </a:solidFill>
              </a:rPr>
              <a:t> lookforward</a:t>
            </a:r>
            <a:endParaRPr lang="en-AU" sz="1800" b="0">
              <a:solidFill>
                <a:schemeClr val="bg1"/>
              </a:solidFill>
            </a:endParaRPr>
          </a:p>
          <a:p>
            <a:r>
              <a:rPr lang="en-AU" sz="1800" b="0">
                <a:solidFill>
                  <a:schemeClr val="bg1"/>
                </a:solidFill>
              </a:rPr>
              <a:t>- Calculating the average</a:t>
            </a:r>
            <a:r>
              <a:rPr lang="en-AU" sz="1800" b="0" baseline="0">
                <a:solidFill>
                  <a:schemeClr val="bg1"/>
                </a:solidFill>
              </a:rPr>
              <a:t> 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Calculating the minimum and date of minimum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Plotting the DSCR</a:t>
            </a:r>
            <a:endParaRPr lang="en-AU" sz="18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6</xdr:col>
      <xdr:colOff>289278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599897" y="39292"/>
          <a:ext cx="2843214" cy="786208"/>
        </a:xfrm>
        <a:prstGeom prst="rect">
          <a:avLst/>
        </a:prstGeom>
      </xdr:spPr>
    </xdr:pic>
    <xdr:clientData/>
  </xdr:twoCellAnchor>
  <xdr:twoCellAnchor editAs="oneCell">
    <xdr:from>
      <xdr:col>22</xdr:col>
      <xdr:colOff>310433</xdr:colOff>
      <xdr:row>1</xdr:row>
      <xdr:rowOff>21300</xdr:rowOff>
    </xdr:from>
    <xdr:to>
      <xdr:col>25</xdr:col>
      <xdr:colOff>91148</xdr:colOff>
      <xdr:row>4</xdr:row>
      <xdr:rowOff>18653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2718333" y="186400"/>
          <a:ext cx="1541783" cy="492653"/>
        </a:xfrm>
        <a:prstGeom prst="rect">
          <a:avLst/>
        </a:prstGeom>
      </xdr:spPr>
    </xdr:pic>
    <xdr:clientData/>
  </xdr:twoCellAnchor>
  <xdr:twoCellAnchor>
    <xdr:from>
      <xdr:col>2</xdr:col>
      <xdr:colOff>178666</xdr:colOff>
      <xdr:row>4</xdr:row>
      <xdr:rowOff>115841</xdr:rowOff>
    </xdr:from>
    <xdr:to>
      <xdr:col>12</xdr:col>
      <xdr:colOff>520988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572366" y="776241"/>
          <a:ext cx="6641522" cy="55726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Calculating</a:t>
          </a:r>
          <a:r>
            <a:rPr lang="en-AU" sz="2400" b="0">
              <a:solidFill>
                <a:schemeClr val="accent2"/>
              </a:solidFill>
              <a:latin typeface="+mj-lt"/>
              <a:cs typeface="Calibri Light" panose="020F0302020204030204" pitchFamily="34" charset="0"/>
            </a:rPr>
            <a:t> a DSCR</a:t>
          </a:r>
        </a:p>
      </xdr:txBody>
    </xdr:sp>
    <xdr:clientData/>
  </xdr:twoCellAnchor>
  <xdr:twoCellAnchor>
    <xdr:from>
      <xdr:col>6</xdr:col>
      <xdr:colOff>152406</xdr:colOff>
      <xdr:row>17</xdr:row>
      <xdr:rowOff>79023</xdr:rowOff>
    </xdr:from>
    <xdr:to>
      <xdr:col>11</xdr:col>
      <xdr:colOff>448235</xdr:colOff>
      <xdr:row>22</xdr:row>
      <xdr:rowOff>141112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3633970C-AA77-4143-BF2E-B3B31E9CD9C0}"/>
            </a:ext>
          </a:extLst>
        </xdr:cNvPr>
        <xdr:cNvGrpSpPr/>
      </xdr:nvGrpSpPr>
      <xdr:grpSpPr>
        <a:xfrm>
          <a:off x="3458141" y="2992552"/>
          <a:ext cx="3002050" cy="902531"/>
          <a:chOff x="497122" y="10086442"/>
          <a:chExt cx="2561976" cy="1179444"/>
        </a:xfrm>
      </xdr:grpSpPr>
      <xdr:grpSp>
        <xdr:nvGrpSpPr>
          <xdr:cNvPr id="55" name="Group 54">
            <a:extLst>
              <a:ext uri="{FF2B5EF4-FFF2-40B4-BE49-F238E27FC236}">
                <a16:creationId xmlns:a16="http://schemas.microsoft.com/office/drawing/2014/main" id="{5B9B291C-347B-41E9-89A2-91794D9DAA0C}"/>
              </a:ext>
            </a:extLst>
          </xdr:cNvPr>
          <xdr:cNvGrpSpPr/>
        </xdr:nvGrpSpPr>
        <xdr:grpSpPr>
          <a:xfrm>
            <a:off x="497122" y="10086442"/>
            <a:ext cx="2561976" cy="1179444"/>
            <a:chOff x="5572826" y="1336176"/>
            <a:chExt cx="2617040" cy="1089317"/>
          </a:xfrm>
        </xdr:grpSpPr>
        <xdr:grpSp>
          <xdr:nvGrpSpPr>
            <xdr:cNvPr id="57" name="Group 56">
              <a:extLst>
                <a:ext uri="{FF2B5EF4-FFF2-40B4-BE49-F238E27FC236}">
                  <a16:creationId xmlns:a16="http://schemas.microsoft.com/office/drawing/2014/main" id="{0D54D272-451E-4274-A030-D7E1A21B704F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59" name="Rectangle 58">
                <a:extLst>
                  <a:ext uri="{FF2B5EF4-FFF2-40B4-BE49-F238E27FC236}">
                    <a16:creationId xmlns:a16="http://schemas.microsoft.com/office/drawing/2014/main" id="{F3F7C426-F2B1-4BC7-BF8A-3C70536C9B12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0" name="Straight Connector 59">
                <a:extLst>
                  <a:ext uri="{FF2B5EF4-FFF2-40B4-BE49-F238E27FC236}">
                    <a16:creationId xmlns:a16="http://schemas.microsoft.com/office/drawing/2014/main" id="{A67C1A3F-22A1-4B50-9F02-53C08CD872AD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1" name="Isosceles Triangle 60">
                <a:extLst>
                  <a:ext uri="{FF2B5EF4-FFF2-40B4-BE49-F238E27FC236}">
                    <a16:creationId xmlns:a16="http://schemas.microsoft.com/office/drawing/2014/main" id="{3F2705C7-8FF2-4E2D-A456-5FB244EEB689}"/>
                  </a:ext>
                </a:extLst>
              </xdr:cNvPr>
              <xdr:cNvSpPr/>
            </xdr:nvSpPr>
            <xdr:spPr>
              <a:xfrm rot="16200000">
                <a:off x="3544101" y="359402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D142E4E9-344C-4AD8-B03E-7FC666CFF36E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Inputs will drive your own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calculations but are presented here for completeness rather than have too many simple line item inputs.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31E3C1E5-09B6-4783-A58D-E2BA82A9EB97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5623" y="10260356"/>
            <a:ext cx="212835" cy="309617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57820</xdr:colOff>
      <xdr:row>45</xdr:row>
      <xdr:rowOff>27077</xdr:rowOff>
    </xdr:from>
    <xdr:to>
      <xdr:col>9</xdr:col>
      <xdr:colOff>285707</xdr:colOff>
      <xdr:row>51</xdr:row>
      <xdr:rowOff>44772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DAFD40B-0CA1-4E7D-AE30-BA08EF72874B}"/>
            </a:ext>
          </a:extLst>
        </xdr:cNvPr>
        <xdr:cNvGrpSpPr/>
      </xdr:nvGrpSpPr>
      <xdr:grpSpPr>
        <a:xfrm>
          <a:off x="2842482" y="7686298"/>
          <a:ext cx="2334593" cy="1026225"/>
          <a:chOff x="497123" y="10086442"/>
          <a:chExt cx="2572073" cy="1179444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BBA62D9B-6AE1-47DA-8426-91CBAE922C48}"/>
              </a:ext>
            </a:extLst>
          </xdr:cNvPr>
          <xdr:cNvGrpSpPr/>
        </xdr:nvGrpSpPr>
        <xdr:grpSpPr>
          <a:xfrm>
            <a:off x="497123" y="10086442"/>
            <a:ext cx="2561975" cy="1179444"/>
            <a:chOff x="5572827" y="1336176"/>
            <a:chExt cx="2617039" cy="1089317"/>
          </a:xfrm>
        </xdr:grpSpPr>
        <xdr:grpSp>
          <xdr:nvGrpSpPr>
            <xdr:cNvPr id="17" name="Group 16">
              <a:extLst>
                <a:ext uri="{FF2B5EF4-FFF2-40B4-BE49-F238E27FC236}">
                  <a16:creationId xmlns:a16="http://schemas.microsoft.com/office/drawing/2014/main" id="{943FC425-8897-461C-BDCE-87C8FA339542}"/>
                </a:ext>
              </a:extLst>
            </xdr:cNvPr>
            <xdr:cNvGrpSpPr/>
          </xdr:nvGrpSpPr>
          <xdr:grpSpPr>
            <a:xfrm>
              <a:off x="5572827" y="1336176"/>
              <a:ext cx="2617039" cy="1087623"/>
              <a:chOff x="3581498" y="3396291"/>
              <a:chExt cx="2577299" cy="1278582"/>
            </a:xfrm>
          </xdr:grpSpPr>
          <xdr:sp macro="" textlink="">
            <xdr:nvSpPr>
              <xdr:cNvPr id="19" name="Rectangle 18">
                <a:extLst>
                  <a:ext uri="{FF2B5EF4-FFF2-40B4-BE49-F238E27FC236}">
                    <a16:creationId xmlns:a16="http://schemas.microsoft.com/office/drawing/2014/main" id="{4E97B738-0531-4C62-816D-CFAB7C81F3B3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20" name="Straight Connector 19">
                <a:extLst>
                  <a:ext uri="{FF2B5EF4-FFF2-40B4-BE49-F238E27FC236}">
                    <a16:creationId xmlns:a16="http://schemas.microsoft.com/office/drawing/2014/main" id="{09703298-D5FB-4D6A-B286-D73A9DA84A51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1" name="Isosceles Triangle 20">
                <a:extLst>
                  <a:ext uri="{FF2B5EF4-FFF2-40B4-BE49-F238E27FC236}">
                    <a16:creationId xmlns:a16="http://schemas.microsoft.com/office/drawing/2014/main" id="{1869AF62-BB54-414E-93C0-AF9567AA8F5B}"/>
                  </a:ext>
                </a:extLst>
              </xdr:cNvPr>
              <xdr:cNvSpPr/>
            </xdr:nvSpPr>
            <xdr:spPr>
              <a:xfrm rot="16200000">
                <a:off x="3544102" y="3894000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18" name="Rectangle 17">
              <a:extLst>
                <a:ext uri="{FF2B5EF4-FFF2-40B4-BE49-F238E27FC236}">
                  <a16:creationId xmlns:a16="http://schemas.microsoft.com/office/drawing/2014/main" id="{7886AA01-FE62-46BB-96AA-60C7D1391E68}"/>
                </a:ext>
              </a:extLst>
            </xdr:cNvPr>
            <xdr:cNvSpPr/>
          </xdr:nvSpPr>
          <xdr:spPr>
            <a:xfrm>
              <a:off x="5797835" y="1352315"/>
              <a:ext cx="2116875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Values 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drive the periods for the ratio. Whilst each could be individually coded there is less risk and ambiguity if variants are systemised.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5D58FD63-8F4C-4DB1-80A0-C08732E09467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94433" y="10252944"/>
            <a:ext cx="274763" cy="27229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152258</xdr:colOff>
      <xdr:row>79</xdr:row>
      <xdr:rowOff>61384</xdr:rowOff>
    </xdr:from>
    <xdr:to>
      <xdr:col>11</xdr:col>
      <xdr:colOff>55918</xdr:colOff>
      <xdr:row>83</xdr:row>
      <xdr:rowOff>90170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32DE053C-1E04-45C7-A605-B03B573CE45D}"/>
            </a:ext>
          </a:extLst>
        </xdr:cNvPr>
        <xdr:cNvGrpSpPr/>
      </xdr:nvGrpSpPr>
      <xdr:grpSpPr>
        <a:xfrm>
          <a:off x="4085523" y="13418796"/>
          <a:ext cx="1982351" cy="701139"/>
          <a:chOff x="515250" y="10086442"/>
          <a:chExt cx="2545562" cy="1179444"/>
        </a:xfrm>
      </xdr:grpSpPr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BC953C42-E516-4E30-9C46-0414AAF4B1F8}"/>
              </a:ext>
            </a:extLst>
          </xdr:cNvPr>
          <xdr:cNvGrpSpPr/>
        </xdr:nvGrpSpPr>
        <xdr:grpSpPr>
          <a:xfrm>
            <a:off x="515250" y="10086442"/>
            <a:ext cx="2543849" cy="1179444"/>
            <a:chOff x="5591343" y="1336176"/>
            <a:chExt cx="2598523" cy="1089317"/>
          </a:xfrm>
        </xdr:grpSpPr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45871937-A01A-4CFE-8707-160A6CC6CB59}"/>
                </a:ext>
              </a:extLst>
            </xdr:cNvPr>
            <xdr:cNvGrpSpPr/>
          </xdr:nvGrpSpPr>
          <xdr:grpSpPr>
            <a:xfrm>
              <a:off x="5591343" y="1336176"/>
              <a:ext cx="2598523" cy="1087623"/>
              <a:chOff x="3599733" y="3396291"/>
              <a:chExt cx="2559064" cy="1278582"/>
            </a:xfrm>
          </xdr:grpSpPr>
          <xdr:sp macro="" textlink="">
            <xdr:nvSpPr>
              <xdr:cNvPr id="27" name="Rectangle 26">
                <a:extLst>
                  <a:ext uri="{FF2B5EF4-FFF2-40B4-BE49-F238E27FC236}">
                    <a16:creationId xmlns:a16="http://schemas.microsoft.com/office/drawing/2014/main" id="{DC78E0DF-DD81-4672-AF30-DEB3AEB320E0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28" name="Straight Connector 27">
                <a:extLst>
                  <a:ext uri="{FF2B5EF4-FFF2-40B4-BE49-F238E27FC236}">
                    <a16:creationId xmlns:a16="http://schemas.microsoft.com/office/drawing/2014/main" id="{8E99E3FB-6DA4-4317-95CB-FFF3D9AB94D7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9" name="Isosceles Triangle 28">
                <a:extLst>
                  <a:ext uri="{FF2B5EF4-FFF2-40B4-BE49-F238E27FC236}">
                    <a16:creationId xmlns:a16="http://schemas.microsoft.com/office/drawing/2014/main" id="{A746EA14-FB32-44B7-980B-A41B02B180EC}"/>
                  </a:ext>
                </a:extLst>
              </xdr:cNvPr>
              <xdr:cNvSpPr/>
            </xdr:nvSpPr>
            <xdr:spPr>
              <a:xfrm rot="16200000">
                <a:off x="3562337" y="346990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26" name="Rectangle 25">
              <a:extLst>
                <a:ext uri="{FF2B5EF4-FFF2-40B4-BE49-F238E27FC236}">
                  <a16:creationId xmlns:a16="http://schemas.microsoft.com/office/drawing/2014/main" id="{296CECB0-C2F2-4239-AF6A-C7749E372D06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Conditional formatting helps visually identify breaches.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506E7594-2092-4185-B554-6BDFB66BCBDC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40562" y="10253284"/>
            <a:ext cx="320250" cy="3985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234950</xdr:colOff>
      <xdr:row>83</xdr:row>
      <xdr:rowOff>158750</xdr:rowOff>
    </xdr:from>
    <xdr:to>
      <xdr:col>25</xdr:col>
      <xdr:colOff>25400</xdr:colOff>
      <xdr:row>116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31E9AE-F927-40D1-8444-1F5DBA8B8B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</xdr:colOff>
      <xdr:row>93</xdr:row>
      <xdr:rowOff>127000</xdr:rowOff>
    </xdr:from>
    <xdr:to>
      <xdr:col>8</xdr:col>
      <xdr:colOff>57150</xdr:colOff>
      <xdr:row>99</xdr:row>
      <xdr:rowOff>120650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C682CA3-45C3-485B-B0F6-660B4B1A9EC1}"/>
            </a:ext>
          </a:extLst>
        </xdr:cNvPr>
        <xdr:cNvGrpSpPr/>
      </xdr:nvGrpSpPr>
      <xdr:grpSpPr>
        <a:xfrm flipH="1">
          <a:off x="2271432" y="15837647"/>
          <a:ext cx="2346512" cy="1002179"/>
          <a:chOff x="515250" y="10086442"/>
          <a:chExt cx="2550684" cy="1179444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C97B2949-C759-4F36-BCF0-2DCA9B9BA774}"/>
              </a:ext>
            </a:extLst>
          </xdr:cNvPr>
          <xdr:cNvGrpSpPr/>
        </xdr:nvGrpSpPr>
        <xdr:grpSpPr>
          <a:xfrm>
            <a:off x="515250" y="10086442"/>
            <a:ext cx="2543849" cy="1179444"/>
            <a:chOff x="5591343" y="1336176"/>
            <a:chExt cx="2598523" cy="1089317"/>
          </a:xfrm>
        </xdr:grpSpPr>
        <xdr:grpSp>
          <xdr:nvGrpSpPr>
            <xdr:cNvPr id="34" name="Group 33">
              <a:extLst>
                <a:ext uri="{FF2B5EF4-FFF2-40B4-BE49-F238E27FC236}">
                  <a16:creationId xmlns:a16="http://schemas.microsoft.com/office/drawing/2014/main" id="{A20FA052-6BF1-4B80-86B6-ADDB16E0454C}"/>
                </a:ext>
              </a:extLst>
            </xdr:cNvPr>
            <xdr:cNvGrpSpPr/>
          </xdr:nvGrpSpPr>
          <xdr:grpSpPr>
            <a:xfrm>
              <a:off x="5591343" y="1336176"/>
              <a:ext cx="2598523" cy="1087623"/>
              <a:chOff x="3599733" y="3396291"/>
              <a:chExt cx="2559064" cy="1278582"/>
            </a:xfrm>
          </xdr:grpSpPr>
          <xdr:sp macro="" textlink="">
            <xdr:nvSpPr>
              <xdr:cNvPr id="36" name="Rectangle 35">
                <a:extLst>
                  <a:ext uri="{FF2B5EF4-FFF2-40B4-BE49-F238E27FC236}">
                    <a16:creationId xmlns:a16="http://schemas.microsoft.com/office/drawing/2014/main" id="{71C9169B-FF3E-43AC-94C1-6489D221DC77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7" name="Straight Connector 36">
                <a:extLst>
                  <a:ext uri="{FF2B5EF4-FFF2-40B4-BE49-F238E27FC236}">
                    <a16:creationId xmlns:a16="http://schemas.microsoft.com/office/drawing/2014/main" id="{B5A68BD3-7A38-4B8E-BC05-5A2D079979AA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Isosceles Triangle 37">
                <a:extLst>
                  <a:ext uri="{FF2B5EF4-FFF2-40B4-BE49-F238E27FC236}">
                    <a16:creationId xmlns:a16="http://schemas.microsoft.com/office/drawing/2014/main" id="{20102065-4013-4D76-BD16-6BB214D3EE09}"/>
                  </a:ext>
                </a:extLst>
              </xdr:cNvPr>
              <xdr:cNvSpPr/>
            </xdr:nvSpPr>
            <xdr:spPr>
              <a:xfrm rot="16200000">
                <a:off x="3562337" y="346990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090F1381-C242-4A59-9D2D-70B419451641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Don't make plots too small, they are important windows into your analysis - be generous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but concise.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93BF98B-822A-45B9-8DB0-46D6B86B6F5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794840" y="10253284"/>
            <a:ext cx="271094" cy="278831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588962</xdr:colOff>
      <xdr:row>110</xdr:row>
      <xdr:rowOff>63498</xdr:rowOff>
    </xdr:from>
    <xdr:to>
      <xdr:col>16</xdr:col>
      <xdr:colOff>328612</xdr:colOff>
      <xdr:row>113</xdr:row>
      <xdr:rowOff>126998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85171A7-E61A-4DF1-B568-2D226D650950}"/>
            </a:ext>
          </a:extLst>
        </xdr:cNvPr>
        <xdr:cNvSpPr txBox="1"/>
      </xdr:nvSpPr>
      <xdr:spPr>
        <a:xfrm>
          <a:off x="7491412" y="18141948"/>
          <a:ext cx="1498600" cy="558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bg1">
                  <a:lumMod val="50000"/>
                </a:schemeClr>
              </a:solidFill>
              <a:latin typeface="+mn-lt"/>
            </a:rPr>
            <a:t>DSCR (Lock-up)</a:t>
          </a:r>
        </a:p>
        <a:p>
          <a:r>
            <a:rPr lang="en-AU" sz="1000">
              <a:solidFill>
                <a:schemeClr val="bg1">
                  <a:lumMod val="50000"/>
                </a:schemeClr>
              </a:solidFill>
              <a:latin typeface="+mn-lt"/>
            </a:rPr>
            <a:t>DSCR (Default)</a:t>
          </a:r>
        </a:p>
      </xdr:txBody>
    </xdr:sp>
    <xdr:clientData/>
  </xdr:twoCellAnchor>
  <xdr:twoCellAnchor>
    <xdr:from>
      <xdr:col>13</xdr:col>
      <xdr:colOff>265112</xdr:colOff>
      <xdr:row>111</xdr:row>
      <xdr:rowOff>15872</xdr:rowOff>
    </xdr:from>
    <xdr:to>
      <xdr:col>13</xdr:col>
      <xdr:colOff>599280</xdr:colOff>
      <xdr:row>111</xdr:row>
      <xdr:rowOff>15873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64292646-99FA-4035-85E3-BE52F5CDC654}"/>
            </a:ext>
          </a:extLst>
        </xdr:cNvPr>
        <xdr:cNvCxnSpPr/>
      </xdr:nvCxnSpPr>
      <xdr:spPr>
        <a:xfrm>
          <a:off x="7162800" y="18418966"/>
          <a:ext cx="334168" cy="1"/>
        </a:xfrm>
        <a:prstGeom prst="line">
          <a:avLst/>
        </a:prstGeom>
        <a:ln w="19050">
          <a:solidFill>
            <a:srgbClr val="C00000">
              <a:alpha val="46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272708</xdr:colOff>
      <xdr:row>111</xdr:row>
      <xdr:rowOff>161355</xdr:rowOff>
    </xdr:from>
    <xdr:to>
      <xdr:col>14</xdr:col>
      <xdr:colOff>3968</xdr:colOff>
      <xdr:row>111</xdr:row>
      <xdr:rowOff>162717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94E33FF8-51BB-4714-ABAC-688A874A399E}"/>
            </a:ext>
          </a:extLst>
        </xdr:cNvPr>
        <xdr:cNvCxnSpPr/>
      </xdr:nvCxnSpPr>
      <xdr:spPr>
        <a:xfrm>
          <a:off x="7170396" y="18564449"/>
          <a:ext cx="334510" cy="1362"/>
        </a:xfrm>
        <a:prstGeom prst="line">
          <a:avLst/>
        </a:prstGeom>
        <a:ln w="19050">
          <a:solidFill>
            <a:srgbClr val="C00000">
              <a:alpha val="81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110</xdr:row>
      <xdr:rowOff>44450</xdr:rowOff>
    </xdr:from>
    <xdr:to>
      <xdr:col>15</xdr:col>
      <xdr:colOff>432593</xdr:colOff>
      <xdr:row>115</xdr:row>
      <xdr:rowOff>31750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D07D348-A6CE-4735-8CF5-CBF42135E8B1}"/>
            </a:ext>
          </a:extLst>
        </xdr:cNvPr>
        <xdr:cNvSpPr/>
      </xdr:nvSpPr>
      <xdr:spPr>
        <a:xfrm>
          <a:off x="4845050" y="18288000"/>
          <a:ext cx="3664743" cy="81280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topLeftCell="B1" zoomScale="75" zoomScaleNormal="75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D202"/>
  <sheetViews>
    <sheetView showGridLines="0" zoomScale="85" zoomScaleNormal="85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1" width="2.7109375" customWidth="1"/>
    <col min="2" max="2" width="3.5" customWidth="1"/>
    <col min="3" max="3" width="4.0703125" style="1" customWidth="1"/>
    <col min="4" max="4" width="23.5" bestFit="1" customWidth="1"/>
    <col min="5" max="5" width="8" bestFit="1" customWidth="1"/>
    <col min="6" max="6" width="7.78515625" customWidth="1"/>
    <col min="7" max="8" width="9.42578125" customWidth="1"/>
    <col min="9" max="9" width="4.92578125" style="1" customWidth="1"/>
    <col min="10" max="10" width="7.78515625" style="1" bestFit="1" customWidth="1"/>
    <col min="11" max="11" width="9" style="1" bestFit="1" customWidth="1"/>
    <col min="12" max="12" width="9.2109375" bestFit="1" customWidth="1"/>
    <col min="13" max="13" width="9.42578125" bestFit="1" customWidth="1"/>
    <col min="14" max="14" width="9.5" bestFit="1" customWidth="1"/>
    <col min="15" max="15" width="9" bestFit="1" customWidth="1"/>
    <col min="16" max="16" width="9.2109375" bestFit="1" customWidth="1"/>
    <col min="17" max="17" width="9.42578125" bestFit="1" customWidth="1"/>
    <col min="18" max="18" width="9.5" bestFit="1" customWidth="1"/>
    <col min="19" max="19" width="9" bestFit="1" customWidth="1"/>
    <col min="20" max="20" width="9.2109375" bestFit="1" customWidth="1"/>
    <col min="21" max="21" width="9.42578125" bestFit="1" customWidth="1"/>
    <col min="22" max="22" width="9.5" bestFit="1" customWidth="1"/>
    <col min="23" max="23" width="9" bestFit="1" customWidth="1"/>
    <col min="24" max="24" width="9.2109375" bestFit="1" customWidth="1"/>
    <col min="25" max="25" width="9.42578125" bestFit="1" customWidth="1"/>
    <col min="26" max="26" width="8.78515625" customWidth="1"/>
    <col min="27" max="16384" width="8.78515625" hidden="1"/>
  </cols>
  <sheetData>
    <row r="1" spans="3:16384" s="1" customFormat="1" x14ac:dyDescent="0.4"/>
    <row r="2" spans="3:16384" x14ac:dyDescent="0.4">
      <c r="C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4"/>
    <row r="4" spans="3:16384" s="1" customFormat="1" x14ac:dyDescent="0.4"/>
    <row r="5" spans="3:16384" s="1" customFormat="1" x14ac:dyDescent="0.4"/>
    <row r="6" spans="3:16384" s="1" customFormat="1" x14ac:dyDescent="0.4"/>
    <row r="7" spans="3:16384" s="1" customFormat="1" x14ac:dyDescent="0.4"/>
    <row r="8" spans="3:16384" s="1" customFormat="1" x14ac:dyDescent="0.4"/>
    <row r="9" spans="3:16384" s="1" customFormat="1" x14ac:dyDescent="0.4"/>
    <row r="10" spans="3:16384" s="1" customFormat="1" ht="15.75" x14ac:dyDescent="0.5">
      <c r="D10" s="6" t="s">
        <v>21</v>
      </c>
    </row>
    <row r="11" spans="3:16384" s="1" customFormat="1" x14ac:dyDescent="0.4">
      <c r="D11" t="s">
        <v>13</v>
      </c>
      <c r="E11"/>
      <c r="F11" s="10">
        <v>4</v>
      </c>
    </row>
    <row r="12" spans="3:16384" s="1" customFormat="1" x14ac:dyDescent="0.4">
      <c r="D12" s="1" t="s">
        <v>32</v>
      </c>
      <c r="F12" s="10">
        <v>3</v>
      </c>
    </row>
    <row r="13" spans="3:16384" s="1" customFormat="1" x14ac:dyDescent="0.4"/>
    <row r="14" spans="3:16384" ht="13.5" customHeight="1" x14ac:dyDescent="0.4">
      <c r="C14"/>
      <c r="D14" s="1" t="s">
        <v>36</v>
      </c>
      <c r="H14" s="1"/>
      <c r="K14" s="8">
        <v>1</v>
      </c>
      <c r="L14" s="8">
        <f>K14+1</f>
        <v>2</v>
      </c>
      <c r="M14" s="8">
        <f t="shared" ref="M14:T14" si="0">L14+1</f>
        <v>3</v>
      </c>
      <c r="N14" s="8">
        <f t="shared" si="0"/>
        <v>4</v>
      </c>
      <c r="O14" s="8">
        <f t="shared" si="0"/>
        <v>5</v>
      </c>
      <c r="P14" s="8">
        <f t="shared" si="0"/>
        <v>6</v>
      </c>
      <c r="Q14" s="8">
        <f t="shared" si="0"/>
        <v>7</v>
      </c>
      <c r="R14" s="8">
        <f t="shared" si="0"/>
        <v>8</v>
      </c>
      <c r="S14" s="8">
        <f t="shared" si="0"/>
        <v>9</v>
      </c>
      <c r="T14" s="8">
        <f t="shared" si="0"/>
        <v>10</v>
      </c>
      <c r="U14" s="8">
        <f t="shared" ref="U14" si="1">T14+1</f>
        <v>11</v>
      </c>
      <c r="V14" s="8">
        <f t="shared" ref="V14" si="2">U14+1</f>
        <v>12</v>
      </c>
      <c r="W14" s="8">
        <f t="shared" ref="W14" si="3">V14+1</f>
        <v>13</v>
      </c>
      <c r="X14" s="8">
        <f t="shared" ref="X14" si="4">W14+1</f>
        <v>14</v>
      </c>
      <c r="Y14" s="8">
        <f t="shared" ref="Y14" si="5">X14+1</f>
        <v>15</v>
      </c>
      <c r="AA14" s="1"/>
    </row>
    <row r="15" spans="3:16384" s="1" customFormat="1" ht="13.5" customHeight="1" x14ac:dyDescent="0.4">
      <c r="D15" s="1" t="s">
        <v>14</v>
      </c>
      <c r="K15" s="5">
        <v>42916</v>
      </c>
      <c r="L15" s="5">
        <f>EOMONTH(K15,3)</f>
        <v>43008</v>
      </c>
      <c r="M15" s="5">
        <f t="shared" ref="M15:T15" si="6">EOMONTH(L15,3)</f>
        <v>43100</v>
      </c>
      <c r="N15" s="5">
        <f t="shared" si="6"/>
        <v>43190</v>
      </c>
      <c r="O15" s="5">
        <f t="shared" si="6"/>
        <v>43281</v>
      </c>
      <c r="P15" s="5">
        <f t="shared" si="6"/>
        <v>43373</v>
      </c>
      <c r="Q15" s="5">
        <f t="shared" si="6"/>
        <v>43465</v>
      </c>
      <c r="R15" s="5">
        <f t="shared" si="6"/>
        <v>43555</v>
      </c>
      <c r="S15" s="5">
        <f t="shared" si="6"/>
        <v>43646</v>
      </c>
      <c r="T15" s="5">
        <f t="shared" si="6"/>
        <v>43738</v>
      </c>
      <c r="U15" s="5">
        <f t="shared" ref="U15:Y15" si="7">EOMONTH(T15,3)</f>
        <v>43830</v>
      </c>
      <c r="V15" s="5">
        <f t="shared" si="7"/>
        <v>43921</v>
      </c>
      <c r="W15" s="5">
        <f t="shared" si="7"/>
        <v>44012</v>
      </c>
      <c r="X15" s="5">
        <f t="shared" si="7"/>
        <v>44104</v>
      </c>
      <c r="Y15" s="5">
        <f t="shared" si="7"/>
        <v>44196</v>
      </c>
    </row>
    <row r="16" spans="3:16384" ht="13.5" customHeight="1" x14ac:dyDescent="0.4">
      <c r="C16"/>
      <c r="D16" t="s">
        <v>3</v>
      </c>
      <c r="E16" t="s">
        <v>0</v>
      </c>
      <c r="F16" s="1"/>
      <c r="G16" s="1"/>
      <c r="H16" s="1"/>
      <c r="K16" s="11">
        <v>20</v>
      </c>
      <c r="L16" s="11">
        <v>20</v>
      </c>
      <c r="M16" s="11">
        <v>20</v>
      </c>
      <c r="N16" s="11">
        <v>20</v>
      </c>
      <c r="O16" s="11">
        <v>20</v>
      </c>
      <c r="P16" s="11">
        <v>13</v>
      </c>
      <c r="Q16" s="11">
        <v>17</v>
      </c>
      <c r="R16" s="11">
        <v>22</v>
      </c>
      <c r="S16" s="11">
        <v>22</v>
      </c>
      <c r="T16" s="11">
        <v>22</v>
      </c>
      <c r="U16" s="11">
        <v>22</v>
      </c>
      <c r="V16" s="11">
        <v>22</v>
      </c>
      <c r="W16" s="11">
        <v>22</v>
      </c>
      <c r="X16" s="11">
        <v>22</v>
      </c>
      <c r="Y16" s="11">
        <v>22</v>
      </c>
      <c r="AA16" s="1"/>
    </row>
    <row r="17" spans="3:25" s="1" customFormat="1" ht="13.5" customHeight="1" x14ac:dyDescent="0.4"/>
    <row r="18" spans="3:25" x14ac:dyDescent="0.4">
      <c r="C18"/>
      <c r="D18" s="1" t="s">
        <v>11</v>
      </c>
      <c r="E18" t="s">
        <v>28</v>
      </c>
      <c r="F18" s="4">
        <v>13</v>
      </c>
      <c r="H18" s="1"/>
      <c r="K18"/>
      <c r="M18" s="1"/>
      <c r="T18" s="1"/>
      <c r="U18" s="1"/>
      <c r="V18" s="1"/>
      <c r="W18" s="1"/>
      <c r="X18" s="1"/>
      <c r="Y18" s="1"/>
    </row>
    <row r="19" spans="3:25" s="1" customFormat="1" x14ac:dyDescent="0.4">
      <c r="D19" s="14" t="s">
        <v>9</v>
      </c>
      <c r="E19" s="1" t="s">
        <v>12</v>
      </c>
      <c r="F19" s="15">
        <v>0.05</v>
      </c>
    </row>
    <row r="20" spans="3:25" s="1" customFormat="1" x14ac:dyDescent="0.4">
      <c r="D20" s="14" t="s">
        <v>18</v>
      </c>
      <c r="E20" s="1" t="s">
        <v>12</v>
      </c>
      <c r="F20" s="15">
        <v>0.01</v>
      </c>
    </row>
    <row r="21" spans="3:25" s="1" customFormat="1" x14ac:dyDescent="0.4">
      <c r="D21" s="14" t="s">
        <v>17</v>
      </c>
      <c r="E21" s="1" t="s">
        <v>0</v>
      </c>
      <c r="F21" s="11">
        <v>115</v>
      </c>
    </row>
    <row r="22" spans="3:25" s="1" customFormat="1" x14ac:dyDescent="0.4"/>
    <row r="23" spans="3:25" s="1" customFormat="1" x14ac:dyDescent="0.4">
      <c r="D23" s="14" t="s">
        <v>30</v>
      </c>
      <c r="E23" s="1" t="s">
        <v>23</v>
      </c>
      <c r="F23" s="23">
        <v>1.2</v>
      </c>
    </row>
    <row r="24" spans="3:25" s="1" customFormat="1" x14ac:dyDescent="0.4">
      <c r="D24" s="14" t="s">
        <v>31</v>
      </c>
      <c r="E24" s="14" t="s">
        <v>23</v>
      </c>
      <c r="F24" s="23">
        <v>1.1000000000000001</v>
      </c>
    </row>
    <row r="25" spans="3:25" s="1" customFormat="1" x14ac:dyDescent="0.4"/>
    <row r="26" spans="3:25" s="1" customFormat="1" x14ac:dyDescent="0.4">
      <c r="D26" s="17" t="s">
        <v>5</v>
      </c>
    </row>
    <row r="27" spans="3:25" x14ac:dyDescent="0.4">
      <c r="D27" s="12" t="s">
        <v>6</v>
      </c>
      <c r="E27" s="1" t="s">
        <v>0</v>
      </c>
      <c r="F27" s="1"/>
      <c r="G27" s="1"/>
      <c r="K27" s="11">
        <v>100</v>
      </c>
      <c r="L27">
        <f>K29</f>
        <v>92.307692307692307</v>
      </c>
      <c r="M27" s="1">
        <f t="shared" ref="M27:Y27" si="8">L29</f>
        <v>84.615384615384613</v>
      </c>
      <c r="N27" s="1">
        <f t="shared" si="8"/>
        <v>76.92307692307692</v>
      </c>
      <c r="O27" s="1">
        <f t="shared" si="8"/>
        <v>69.230769230769226</v>
      </c>
      <c r="P27" s="1">
        <f t="shared" si="8"/>
        <v>61.538461538461533</v>
      </c>
      <c r="Q27" s="1">
        <f t="shared" si="8"/>
        <v>53.84615384615384</v>
      </c>
      <c r="R27" s="1">
        <f t="shared" si="8"/>
        <v>46.153846153846146</v>
      </c>
      <c r="S27" s="1">
        <f t="shared" si="8"/>
        <v>38.461538461538453</v>
      </c>
      <c r="T27" s="1">
        <f t="shared" si="8"/>
        <v>30.769230769230759</v>
      </c>
      <c r="U27" s="1">
        <f t="shared" si="8"/>
        <v>23.076923076923066</v>
      </c>
      <c r="V27" s="1">
        <f t="shared" si="8"/>
        <v>15.384615384615373</v>
      </c>
      <c r="W27" s="1">
        <f t="shared" si="8"/>
        <v>7.6923076923076801</v>
      </c>
      <c r="X27" s="1">
        <f t="shared" si="8"/>
        <v>0</v>
      </c>
      <c r="Y27" s="1">
        <f t="shared" si="8"/>
        <v>0</v>
      </c>
    </row>
    <row r="28" spans="3:25" x14ac:dyDescent="0.4">
      <c r="D28" t="s">
        <v>7</v>
      </c>
      <c r="E28" s="1" t="s">
        <v>0</v>
      </c>
      <c r="J28" s="16">
        <f>SUM(K28:Y28)</f>
        <v>-99.999999999999986</v>
      </c>
      <c r="K28" s="1">
        <f t="shared" ref="K28:Y28" si="9">-MIN(K27,$K$27/$F$18)</f>
        <v>-7.6923076923076925</v>
      </c>
      <c r="L28" s="1">
        <f t="shared" si="9"/>
        <v>-7.6923076923076925</v>
      </c>
      <c r="M28" s="1">
        <f t="shared" si="9"/>
        <v>-7.6923076923076925</v>
      </c>
      <c r="N28" s="1">
        <f t="shared" si="9"/>
        <v>-7.6923076923076925</v>
      </c>
      <c r="O28" s="1">
        <f t="shared" si="9"/>
        <v>-7.6923076923076925</v>
      </c>
      <c r="P28" s="1">
        <f t="shared" si="9"/>
        <v>-7.6923076923076925</v>
      </c>
      <c r="Q28" s="1">
        <f t="shared" si="9"/>
        <v>-7.6923076923076925</v>
      </c>
      <c r="R28" s="1">
        <f t="shared" si="9"/>
        <v>-7.6923076923076925</v>
      </c>
      <c r="S28" s="1">
        <f t="shared" si="9"/>
        <v>-7.6923076923076925</v>
      </c>
      <c r="T28" s="1">
        <f t="shared" si="9"/>
        <v>-7.6923076923076925</v>
      </c>
      <c r="U28" s="1">
        <f t="shared" si="9"/>
        <v>-7.6923076923076925</v>
      </c>
      <c r="V28" s="1">
        <f t="shared" si="9"/>
        <v>-7.6923076923076925</v>
      </c>
      <c r="W28" s="1">
        <f t="shared" si="9"/>
        <v>-7.6923076923076801</v>
      </c>
      <c r="X28" s="1">
        <f t="shared" si="9"/>
        <v>0</v>
      </c>
      <c r="Y28" s="1">
        <f t="shared" si="9"/>
        <v>0</v>
      </c>
    </row>
    <row r="29" spans="3:25" ht="13.5" thickBot="1" x14ac:dyDescent="0.45">
      <c r="D29" t="s">
        <v>8</v>
      </c>
      <c r="E29" s="1" t="s">
        <v>0</v>
      </c>
      <c r="K29" s="13">
        <f>SUM(K27:K28)</f>
        <v>92.307692307692307</v>
      </c>
      <c r="L29" s="13">
        <f t="shared" ref="L29:Y29" si="10">SUM(L27:L28)</f>
        <v>84.615384615384613</v>
      </c>
      <c r="M29" s="13">
        <f t="shared" si="10"/>
        <v>76.92307692307692</v>
      </c>
      <c r="N29" s="13">
        <f t="shared" si="10"/>
        <v>69.230769230769226</v>
      </c>
      <c r="O29" s="13">
        <f t="shared" si="10"/>
        <v>61.538461538461533</v>
      </c>
      <c r="P29" s="13">
        <f t="shared" si="10"/>
        <v>53.84615384615384</v>
      </c>
      <c r="Q29" s="13">
        <f t="shared" si="10"/>
        <v>46.153846153846146</v>
      </c>
      <c r="R29" s="13">
        <f t="shared" si="10"/>
        <v>38.461538461538453</v>
      </c>
      <c r="S29" s="13">
        <f t="shared" si="10"/>
        <v>30.769230769230759</v>
      </c>
      <c r="T29" s="13">
        <f t="shared" si="10"/>
        <v>23.076923076923066</v>
      </c>
      <c r="U29" s="13">
        <f t="shared" si="10"/>
        <v>15.384615384615373</v>
      </c>
      <c r="V29" s="13">
        <f t="shared" si="10"/>
        <v>7.6923076923076801</v>
      </c>
      <c r="W29" s="13">
        <f t="shared" si="10"/>
        <v>0</v>
      </c>
      <c r="X29" s="13">
        <f t="shared" si="10"/>
        <v>0</v>
      </c>
      <c r="Y29" s="13">
        <f t="shared" si="10"/>
        <v>0</v>
      </c>
    </row>
    <row r="30" spans="3:25" x14ac:dyDescent="0.4">
      <c r="D30" t="s">
        <v>10</v>
      </c>
      <c r="E30" s="1" t="s">
        <v>0</v>
      </c>
      <c r="F30" s="18">
        <f>$F$19/Constant.QuartersInYear</f>
        <v>1.2500000000000001E-2</v>
      </c>
      <c r="J30" s="16">
        <f>SUM(K30:Y30)</f>
        <v>8.75</v>
      </c>
      <c r="K30" s="1">
        <f>K27*$F$30</f>
        <v>1.25</v>
      </c>
      <c r="L30" s="1">
        <f t="shared" ref="L30:Y30" si="11">L27*$F$30</f>
        <v>1.153846153846154</v>
      </c>
      <c r="M30" s="1">
        <f t="shared" si="11"/>
        <v>1.0576923076923077</v>
      </c>
      <c r="N30" s="1">
        <f t="shared" si="11"/>
        <v>0.96153846153846156</v>
      </c>
      <c r="O30" s="1">
        <f t="shared" si="11"/>
        <v>0.86538461538461542</v>
      </c>
      <c r="P30" s="1">
        <f t="shared" si="11"/>
        <v>0.76923076923076916</v>
      </c>
      <c r="Q30" s="1">
        <f t="shared" si="11"/>
        <v>0.67307692307692302</v>
      </c>
      <c r="R30" s="1">
        <f t="shared" si="11"/>
        <v>0.57692307692307687</v>
      </c>
      <c r="S30" s="1">
        <f t="shared" si="11"/>
        <v>0.48076923076923067</v>
      </c>
      <c r="T30" s="1">
        <f t="shared" si="11"/>
        <v>0.38461538461538453</v>
      </c>
      <c r="U30" s="1">
        <f t="shared" si="11"/>
        <v>0.28846153846153832</v>
      </c>
      <c r="V30" s="1">
        <f t="shared" si="11"/>
        <v>0.19230769230769218</v>
      </c>
      <c r="W30" s="1">
        <f t="shared" si="11"/>
        <v>9.6153846153846007E-2</v>
      </c>
      <c r="X30" s="1">
        <f t="shared" si="11"/>
        <v>0</v>
      </c>
      <c r="Y30" s="1">
        <f t="shared" si="11"/>
        <v>0</v>
      </c>
    </row>
    <row r="31" spans="3:25" x14ac:dyDescent="0.4">
      <c r="D31" t="s">
        <v>18</v>
      </c>
      <c r="E31" s="1" t="s">
        <v>0</v>
      </c>
      <c r="F31" s="18">
        <f>$F$20/Constant.QuartersInYear</f>
        <v>2.5000000000000001E-3</v>
      </c>
      <c r="J31" s="16">
        <f>SUM(K31:Y31)</f>
        <v>1.9875000000000003</v>
      </c>
      <c r="K31" s="1">
        <f t="shared" ref="K31:Y31" si="12">IF(K27=0,0,($F$21-K27)*$F$31)</f>
        <v>3.7499999999999999E-2</v>
      </c>
      <c r="L31" s="1">
        <f t="shared" si="12"/>
        <v>5.6730769230769237E-2</v>
      </c>
      <c r="M31" s="1">
        <f t="shared" si="12"/>
        <v>7.5961538461538469E-2</v>
      </c>
      <c r="N31" s="1">
        <f t="shared" si="12"/>
        <v>9.5192307692307701E-2</v>
      </c>
      <c r="O31" s="1">
        <f t="shared" si="12"/>
        <v>0.11442307692307693</v>
      </c>
      <c r="P31" s="1">
        <f t="shared" si="12"/>
        <v>0.13365384615384618</v>
      </c>
      <c r="Q31" s="1">
        <f t="shared" si="12"/>
        <v>0.1528846153846154</v>
      </c>
      <c r="R31" s="1">
        <f t="shared" si="12"/>
        <v>0.17211538461538464</v>
      </c>
      <c r="S31" s="1">
        <f t="shared" si="12"/>
        <v>0.19134615384615386</v>
      </c>
      <c r="T31" s="1">
        <f t="shared" si="12"/>
        <v>0.21057692307692311</v>
      </c>
      <c r="U31" s="1">
        <f t="shared" si="12"/>
        <v>0.22980769230769235</v>
      </c>
      <c r="V31" s="1">
        <f t="shared" si="12"/>
        <v>0.24903846153846157</v>
      </c>
      <c r="W31" s="1">
        <f t="shared" si="12"/>
        <v>0.26826923076923082</v>
      </c>
      <c r="X31" s="1">
        <f t="shared" si="12"/>
        <v>0</v>
      </c>
      <c r="Y31" s="1">
        <f t="shared" si="12"/>
        <v>0</v>
      </c>
    </row>
    <row r="32" spans="3:25" s="1" customFormat="1" x14ac:dyDescent="0.4"/>
    <row r="33" spans="4:25" s="1" customFormat="1" x14ac:dyDescent="0.4"/>
    <row r="34" spans="4:25" s="1" customFormat="1" ht="15.75" x14ac:dyDescent="0.5">
      <c r="D34" s="6" t="s">
        <v>20</v>
      </c>
    </row>
    <row r="35" spans="4:25" x14ac:dyDescent="0.4">
      <c r="D35" s="1" t="s">
        <v>36</v>
      </c>
      <c r="K35" s="8">
        <f>K14</f>
        <v>1</v>
      </c>
      <c r="L35" s="8">
        <f t="shared" ref="L35:Y35" si="13">L14</f>
        <v>2</v>
      </c>
      <c r="M35" s="8">
        <f t="shared" si="13"/>
        <v>3</v>
      </c>
      <c r="N35" s="8">
        <f t="shared" si="13"/>
        <v>4</v>
      </c>
      <c r="O35" s="8">
        <f t="shared" si="13"/>
        <v>5</v>
      </c>
      <c r="P35" s="8">
        <f t="shared" si="13"/>
        <v>6</v>
      </c>
      <c r="Q35" s="8">
        <f t="shared" si="13"/>
        <v>7</v>
      </c>
      <c r="R35" s="8">
        <f t="shared" si="13"/>
        <v>8</v>
      </c>
      <c r="S35" s="8">
        <f t="shared" si="13"/>
        <v>9</v>
      </c>
      <c r="T35" s="8">
        <f t="shared" si="13"/>
        <v>10</v>
      </c>
      <c r="U35" s="8">
        <f t="shared" si="13"/>
        <v>11</v>
      </c>
      <c r="V35" s="8">
        <f t="shared" si="13"/>
        <v>12</v>
      </c>
      <c r="W35" s="8">
        <f t="shared" si="13"/>
        <v>13</v>
      </c>
      <c r="X35" s="8">
        <f t="shared" si="13"/>
        <v>14</v>
      </c>
      <c r="Y35" s="8">
        <f t="shared" si="13"/>
        <v>15</v>
      </c>
    </row>
    <row r="36" spans="4:25" s="1" customFormat="1" x14ac:dyDescent="0.4">
      <c r="D36" s="1" t="s">
        <v>14</v>
      </c>
      <c r="K36" s="5">
        <f>K15</f>
        <v>42916</v>
      </c>
      <c r="L36" s="5">
        <f t="shared" ref="L36:Y36" si="14">L15</f>
        <v>43008</v>
      </c>
      <c r="M36" s="5">
        <f t="shared" si="14"/>
        <v>43100</v>
      </c>
      <c r="N36" s="5">
        <f t="shared" si="14"/>
        <v>43190</v>
      </c>
      <c r="O36" s="5">
        <f t="shared" si="14"/>
        <v>43281</v>
      </c>
      <c r="P36" s="5">
        <f t="shared" si="14"/>
        <v>43373</v>
      </c>
      <c r="Q36" s="5">
        <f t="shared" si="14"/>
        <v>43465</v>
      </c>
      <c r="R36" s="5">
        <f t="shared" si="14"/>
        <v>43555</v>
      </c>
      <c r="S36" s="5">
        <f t="shared" si="14"/>
        <v>43646</v>
      </c>
      <c r="T36" s="5">
        <f t="shared" si="14"/>
        <v>43738</v>
      </c>
      <c r="U36" s="5">
        <f t="shared" si="14"/>
        <v>43830</v>
      </c>
      <c r="V36" s="5">
        <f t="shared" si="14"/>
        <v>43921</v>
      </c>
      <c r="W36" s="5">
        <f t="shared" si="14"/>
        <v>44012</v>
      </c>
      <c r="X36" s="5">
        <f t="shared" si="14"/>
        <v>44104</v>
      </c>
      <c r="Y36" s="5">
        <f t="shared" si="14"/>
        <v>44196</v>
      </c>
    </row>
    <row r="37" spans="4:25" s="1" customFormat="1" x14ac:dyDescent="0.4">
      <c r="D37" s="1" t="s">
        <v>24</v>
      </c>
      <c r="E37" s="1" t="s">
        <v>25</v>
      </c>
      <c r="K37" s="22">
        <f t="shared" ref="K37:Y37" si="15">IF(K27&gt;0,1,0)</f>
        <v>1</v>
      </c>
      <c r="L37" s="22">
        <f t="shared" si="15"/>
        <v>1</v>
      </c>
      <c r="M37" s="22">
        <f t="shared" si="15"/>
        <v>1</v>
      </c>
      <c r="N37" s="22">
        <f t="shared" si="15"/>
        <v>1</v>
      </c>
      <c r="O37" s="22">
        <f t="shared" si="15"/>
        <v>1</v>
      </c>
      <c r="P37" s="22">
        <f t="shared" si="15"/>
        <v>1</v>
      </c>
      <c r="Q37" s="22">
        <f t="shared" si="15"/>
        <v>1</v>
      </c>
      <c r="R37" s="22">
        <f t="shared" si="15"/>
        <v>1</v>
      </c>
      <c r="S37" s="22">
        <f t="shared" si="15"/>
        <v>1</v>
      </c>
      <c r="T37" s="22">
        <f t="shared" si="15"/>
        <v>1</v>
      </c>
      <c r="U37" s="22">
        <f t="shared" si="15"/>
        <v>1</v>
      </c>
      <c r="V37" s="22">
        <f t="shared" si="15"/>
        <v>1</v>
      </c>
      <c r="W37" s="22">
        <f t="shared" si="15"/>
        <v>1</v>
      </c>
      <c r="X37" s="22">
        <f t="shared" si="15"/>
        <v>0</v>
      </c>
      <c r="Y37" s="22">
        <f t="shared" si="15"/>
        <v>0</v>
      </c>
    </row>
    <row r="38" spans="4:25" s="1" customFormat="1" x14ac:dyDescent="0.4"/>
    <row r="39" spans="4:25" x14ac:dyDescent="0.4">
      <c r="D39" t="s">
        <v>3</v>
      </c>
      <c r="E39" s="1" t="s">
        <v>0</v>
      </c>
      <c r="K39" s="1">
        <f>K16*K37</f>
        <v>20</v>
      </c>
      <c r="L39" s="1">
        <f t="shared" ref="L39:Y39" si="16">L16*L37</f>
        <v>20</v>
      </c>
      <c r="M39" s="1">
        <f t="shared" si="16"/>
        <v>20</v>
      </c>
      <c r="N39" s="1">
        <f t="shared" si="16"/>
        <v>20</v>
      </c>
      <c r="O39" s="1">
        <f t="shared" si="16"/>
        <v>20</v>
      </c>
      <c r="P39" s="1">
        <f t="shared" si="16"/>
        <v>13</v>
      </c>
      <c r="Q39" s="1">
        <f t="shared" si="16"/>
        <v>17</v>
      </c>
      <c r="R39" s="1">
        <f t="shared" si="16"/>
        <v>22</v>
      </c>
      <c r="S39" s="1">
        <f t="shared" si="16"/>
        <v>22</v>
      </c>
      <c r="T39" s="1">
        <f t="shared" si="16"/>
        <v>22</v>
      </c>
      <c r="U39" s="1">
        <f t="shared" si="16"/>
        <v>22</v>
      </c>
      <c r="V39" s="1">
        <f t="shared" si="16"/>
        <v>22</v>
      </c>
      <c r="W39" s="1">
        <f t="shared" si="16"/>
        <v>22</v>
      </c>
      <c r="X39" s="1">
        <f t="shared" si="16"/>
        <v>0</v>
      </c>
      <c r="Y39" s="1">
        <f t="shared" si="16"/>
        <v>0</v>
      </c>
    </row>
    <row r="40" spans="4:25" s="1" customFormat="1" x14ac:dyDescent="0.4"/>
    <row r="41" spans="4:25" s="1" customFormat="1" x14ac:dyDescent="0.4">
      <c r="D41" s="17" t="s">
        <v>19</v>
      </c>
    </row>
    <row r="42" spans="4:25" x14ac:dyDescent="0.4">
      <c r="D42" t="s">
        <v>4</v>
      </c>
      <c r="E42" s="1" t="s">
        <v>0</v>
      </c>
      <c r="J42" s="16">
        <f t="shared" ref="J42:J45" si="17">SUM(K42:Y42)</f>
        <v>99.999999999999986</v>
      </c>
      <c r="K42" s="1">
        <f>-K28</f>
        <v>7.6923076923076925</v>
      </c>
      <c r="L42" s="1">
        <f t="shared" ref="L42:Y42" si="18">-L28</f>
        <v>7.6923076923076925</v>
      </c>
      <c r="M42" s="1">
        <f t="shared" si="18"/>
        <v>7.6923076923076925</v>
      </c>
      <c r="N42" s="1">
        <f t="shared" si="18"/>
        <v>7.6923076923076925</v>
      </c>
      <c r="O42" s="1">
        <f t="shared" si="18"/>
        <v>7.6923076923076925</v>
      </c>
      <c r="P42" s="1">
        <f t="shared" si="18"/>
        <v>7.6923076923076925</v>
      </c>
      <c r="Q42" s="1">
        <f t="shared" si="18"/>
        <v>7.6923076923076925</v>
      </c>
      <c r="R42" s="1">
        <f t="shared" si="18"/>
        <v>7.6923076923076925</v>
      </c>
      <c r="S42" s="1">
        <f t="shared" si="18"/>
        <v>7.6923076923076925</v>
      </c>
      <c r="T42" s="1">
        <f t="shared" si="18"/>
        <v>7.6923076923076925</v>
      </c>
      <c r="U42" s="1">
        <f t="shared" si="18"/>
        <v>7.6923076923076925</v>
      </c>
      <c r="V42" s="1">
        <f t="shared" si="18"/>
        <v>7.6923076923076925</v>
      </c>
      <c r="W42" s="1">
        <f t="shared" si="18"/>
        <v>7.6923076923076801</v>
      </c>
      <c r="X42" s="1">
        <f t="shared" si="18"/>
        <v>0</v>
      </c>
      <c r="Y42" s="1">
        <f t="shared" si="18"/>
        <v>0</v>
      </c>
    </row>
    <row r="43" spans="4:25" x14ac:dyDescent="0.4">
      <c r="D43" t="s">
        <v>15</v>
      </c>
      <c r="E43" s="1" t="s">
        <v>0</v>
      </c>
      <c r="J43" s="16">
        <f t="shared" si="17"/>
        <v>8.75</v>
      </c>
      <c r="K43" s="1">
        <f>K30</f>
        <v>1.25</v>
      </c>
      <c r="L43" s="1">
        <f t="shared" ref="L43:Y43" si="19">L30</f>
        <v>1.153846153846154</v>
      </c>
      <c r="M43" s="1">
        <f t="shared" si="19"/>
        <v>1.0576923076923077</v>
      </c>
      <c r="N43" s="1">
        <f t="shared" si="19"/>
        <v>0.96153846153846156</v>
      </c>
      <c r="O43" s="1">
        <f t="shared" si="19"/>
        <v>0.86538461538461542</v>
      </c>
      <c r="P43" s="1">
        <f t="shared" si="19"/>
        <v>0.76923076923076916</v>
      </c>
      <c r="Q43" s="1">
        <f t="shared" si="19"/>
        <v>0.67307692307692302</v>
      </c>
      <c r="R43" s="1">
        <f t="shared" si="19"/>
        <v>0.57692307692307687</v>
      </c>
      <c r="S43" s="1">
        <f t="shared" si="19"/>
        <v>0.48076923076923067</v>
      </c>
      <c r="T43" s="1">
        <f t="shared" si="19"/>
        <v>0.38461538461538453</v>
      </c>
      <c r="U43" s="1">
        <f t="shared" si="19"/>
        <v>0.28846153846153832</v>
      </c>
      <c r="V43" s="1">
        <f t="shared" si="19"/>
        <v>0.19230769230769218</v>
      </c>
      <c r="W43" s="1">
        <f t="shared" si="19"/>
        <v>9.6153846153846007E-2</v>
      </c>
      <c r="X43" s="1">
        <f t="shared" si="19"/>
        <v>0</v>
      </c>
      <c r="Y43" s="1">
        <f t="shared" si="19"/>
        <v>0</v>
      </c>
    </row>
    <row r="44" spans="4:25" x14ac:dyDescent="0.4">
      <c r="D44" t="s">
        <v>16</v>
      </c>
      <c r="E44" s="1" t="s">
        <v>0</v>
      </c>
      <c r="J44" s="16">
        <f t="shared" si="17"/>
        <v>1.9875000000000003</v>
      </c>
      <c r="K44" s="1">
        <f>K31</f>
        <v>3.7499999999999999E-2</v>
      </c>
      <c r="L44" s="1">
        <f t="shared" ref="L44:Y44" si="20">L31</f>
        <v>5.6730769230769237E-2</v>
      </c>
      <c r="M44" s="1">
        <f t="shared" si="20"/>
        <v>7.5961538461538469E-2</v>
      </c>
      <c r="N44" s="1">
        <f t="shared" si="20"/>
        <v>9.5192307692307701E-2</v>
      </c>
      <c r="O44" s="1">
        <f t="shared" si="20"/>
        <v>0.11442307692307693</v>
      </c>
      <c r="P44" s="1">
        <f t="shared" si="20"/>
        <v>0.13365384615384618</v>
      </c>
      <c r="Q44" s="1">
        <f t="shared" si="20"/>
        <v>0.1528846153846154</v>
      </c>
      <c r="R44" s="1">
        <f t="shared" si="20"/>
        <v>0.17211538461538464</v>
      </c>
      <c r="S44" s="1">
        <f t="shared" si="20"/>
        <v>0.19134615384615386</v>
      </c>
      <c r="T44" s="1">
        <f t="shared" si="20"/>
        <v>0.21057692307692311</v>
      </c>
      <c r="U44" s="1">
        <f t="shared" si="20"/>
        <v>0.22980769230769235</v>
      </c>
      <c r="V44" s="1">
        <f t="shared" si="20"/>
        <v>0.24903846153846157</v>
      </c>
      <c r="W44" s="1">
        <f t="shared" si="20"/>
        <v>0.26826923076923082</v>
      </c>
      <c r="X44" s="1">
        <f t="shared" si="20"/>
        <v>0</v>
      </c>
      <c r="Y44" s="1">
        <f t="shared" si="20"/>
        <v>0</v>
      </c>
    </row>
    <row r="45" spans="4:25" x14ac:dyDescent="0.4">
      <c r="D45" t="s">
        <v>1</v>
      </c>
      <c r="E45" s="1" t="s">
        <v>0</v>
      </c>
      <c r="J45" s="16">
        <f t="shared" si="17"/>
        <v>110.73749999999998</v>
      </c>
      <c r="K45" s="9">
        <f>SUM(K42:K44)</f>
        <v>8.979807692307693</v>
      </c>
      <c r="L45" s="9">
        <f t="shared" ref="L45:Y45" si="21">SUM(L42:L44)</f>
        <v>8.9028846153846164</v>
      </c>
      <c r="M45" s="9">
        <f t="shared" si="21"/>
        <v>8.825961538461538</v>
      </c>
      <c r="N45" s="9">
        <f t="shared" si="21"/>
        <v>8.7490384615384613</v>
      </c>
      <c r="O45" s="9">
        <f t="shared" si="21"/>
        <v>8.6721153846153847</v>
      </c>
      <c r="P45" s="9">
        <f t="shared" si="21"/>
        <v>8.595192307692308</v>
      </c>
      <c r="Q45" s="9">
        <f t="shared" si="21"/>
        <v>8.5182692307692296</v>
      </c>
      <c r="R45" s="9">
        <f t="shared" si="21"/>
        <v>8.4413461538461547</v>
      </c>
      <c r="S45" s="9">
        <f t="shared" si="21"/>
        <v>8.3644230769230781</v>
      </c>
      <c r="T45" s="9">
        <f t="shared" si="21"/>
        <v>8.2874999999999996</v>
      </c>
      <c r="U45" s="9">
        <f t="shared" si="21"/>
        <v>8.210576923076923</v>
      </c>
      <c r="V45" s="9">
        <f t="shared" si="21"/>
        <v>8.1336538461538463</v>
      </c>
      <c r="W45" s="9">
        <f t="shared" si="21"/>
        <v>8.0567307692307573</v>
      </c>
      <c r="X45" s="9">
        <f t="shared" si="21"/>
        <v>0</v>
      </c>
      <c r="Y45" s="9">
        <f t="shared" si="21"/>
        <v>0</v>
      </c>
    </row>
    <row r="46" spans="4:25" x14ac:dyDescent="0.4"/>
    <row r="47" spans="4:25" x14ac:dyDescent="0.4">
      <c r="D47" s="17" t="s">
        <v>41</v>
      </c>
    </row>
    <row r="48" spans="4:25" s="1" customFormat="1" x14ac:dyDescent="0.4">
      <c r="D48" s="1" t="s">
        <v>35</v>
      </c>
      <c r="E48" s="10">
        <v>1</v>
      </c>
    </row>
    <row r="49" spans="4:25" s="1" customFormat="1" x14ac:dyDescent="0.4">
      <c r="D49" s="1" t="s">
        <v>33</v>
      </c>
      <c r="E49" s="10">
        <v>0</v>
      </c>
    </row>
    <row r="50" spans="4:25" s="1" customFormat="1" x14ac:dyDescent="0.4">
      <c r="D50" s="1" t="s">
        <v>34</v>
      </c>
      <c r="E50" s="25">
        <f>SUM(E48:E49)</f>
        <v>1</v>
      </c>
    </row>
    <row r="51" spans="4:25" s="1" customFormat="1" x14ac:dyDescent="0.4">
      <c r="D51" s="24"/>
      <c r="K51" s="5">
        <f>K$36</f>
        <v>42916</v>
      </c>
      <c r="L51" s="5">
        <f t="shared" ref="L51:Y51" si="22">L$36</f>
        <v>43008</v>
      </c>
      <c r="M51" s="5">
        <f t="shared" si="22"/>
        <v>43100</v>
      </c>
      <c r="N51" s="5">
        <f t="shared" si="22"/>
        <v>43190</v>
      </c>
      <c r="O51" s="5">
        <f t="shared" si="22"/>
        <v>43281</v>
      </c>
      <c r="P51" s="5">
        <f t="shared" si="22"/>
        <v>43373</v>
      </c>
      <c r="Q51" s="5">
        <f t="shared" si="22"/>
        <v>43465</v>
      </c>
      <c r="R51" s="5">
        <f t="shared" si="22"/>
        <v>43555</v>
      </c>
      <c r="S51" s="5">
        <f t="shared" si="22"/>
        <v>43646</v>
      </c>
      <c r="T51" s="5">
        <f t="shared" si="22"/>
        <v>43738</v>
      </c>
      <c r="U51" s="5">
        <f t="shared" si="22"/>
        <v>43830</v>
      </c>
      <c r="V51" s="5">
        <f t="shared" si="22"/>
        <v>43921</v>
      </c>
      <c r="W51" s="5">
        <f t="shared" si="22"/>
        <v>44012</v>
      </c>
      <c r="X51" s="5">
        <f t="shared" si="22"/>
        <v>44104</v>
      </c>
      <c r="Y51" s="5">
        <f t="shared" si="22"/>
        <v>44196</v>
      </c>
    </row>
    <row r="52" spans="4:25" x14ac:dyDescent="0.4">
      <c r="D52" t="s">
        <v>3</v>
      </c>
      <c r="E52" s="1" t="s">
        <v>0</v>
      </c>
      <c r="G52" s="1"/>
      <c r="H52" s="1"/>
      <c r="K52" s="1">
        <f xml:space="preserve"> SUMIFS($K$39:$Y$39,
                  $K$35:$Y$35, "&gt;"&amp;K$35-$E48,
                  $K$35:$Y$35,"&lt;="&amp;K$35)
+ SUMIFS($K$39:$Y$39,
                  $K$35:$Y$35, "&lt;="&amp;K$35+$E49,
                  $K$35:$Y$35,"&gt;"&amp;K$35)</f>
        <v>20</v>
      </c>
      <c r="L52" s="1">
        <f t="shared" ref="L52:Y52" si="23" xml:space="preserve"> SUMIFS($K$39:$Y$39,
                  $K$35:$Y$35, "&gt;"&amp;L$35-$E48,
                  $K$35:$Y$35,"&lt;="&amp;L$35)
+ SUMIFS($K$39:$Y$39,
                  $K$35:$Y$35, "&lt;="&amp;L$35+$E49,
                  $K$35:$Y$35,"&gt;"&amp;L$35)</f>
        <v>20</v>
      </c>
      <c r="M52" s="1">
        <f t="shared" si="23"/>
        <v>20</v>
      </c>
      <c r="N52" s="1">
        <f t="shared" si="23"/>
        <v>20</v>
      </c>
      <c r="O52" s="1">
        <f t="shared" si="23"/>
        <v>20</v>
      </c>
      <c r="P52" s="1">
        <f t="shared" si="23"/>
        <v>13</v>
      </c>
      <c r="Q52" s="1">
        <f t="shared" si="23"/>
        <v>17</v>
      </c>
      <c r="R52" s="1">
        <f t="shared" si="23"/>
        <v>22</v>
      </c>
      <c r="S52" s="1">
        <f t="shared" si="23"/>
        <v>22</v>
      </c>
      <c r="T52" s="1">
        <f t="shared" si="23"/>
        <v>22</v>
      </c>
      <c r="U52" s="1">
        <f t="shared" si="23"/>
        <v>22</v>
      </c>
      <c r="V52" s="1">
        <f t="shared" si="23"/>
        <v>22</v>
      </c>
      <c r="W52" s="1">
        <f t="shared" si="23"/>
        <v>22</v>
      </c>
      <c r="X52" s="1">
        <f t="shared" si="23"/>
        <v>0</v>
      </c>
      <c r="Y52" s="1">
        <f t="shared" si="23"/>
        <v>0</v>
      </c>
    </row>
    <row r="53" spans="4:25" x14ac:dyDescent="0.4">
      <c r="D53" t="s">
        <v>19</v>
      </c>
      <c r="E53" s="1" t="s">
        <v>0</v>
      </c>
      <c r="F53" s="7" t="s">
        <v>2</v>
      </c>
      <c r="G53" s="7" t="s">
        <v>26</v>
      </c>
      <c r="H53" s="7" t="s">
        <v>27</v>
      </c>
      <c r="K53" s="1">
        <f xml:space="preserve"> SUMIFS($K$45:$Y$45,
                  $K$35:$Y$35, "&gt;"&amp;K$35-$E48,
                  $K$35:$Y$35,"&lt;="&amp;K$35)
+ SUMIFS($K$45:$Y$45,
                  $K$35:$Y$35, "&lt;="&amp;K$35+$E49,
                  $K$35:$Y$35,"&gt;"&amp;K$35)</f>
        <v>8.979807692307693</v>
      </c>
      <c r="L53" s="1">
        <f t="shared" ref="L53:Y53" si="24" xml:space="preserve"> SUMIFS($K$45:$Y$45,
                  $K$35:$Y$35, "&gt;"&amp;L$35-$E48,
                  $K$35:$Y$35,"&lt;="&amp;L$35)
+ SUMIFS($K$45:$Y$45,
                  $K$35:$Y$35, "&lt;="&amp;L$35+$E49,
                  $K$35:$Y$35,"&gt;"&amp;L$35)</f>
        <v>8.9028846153846164</v>
      </c>
      <c r="M53" s="1">
        <f t="shared" si="24"/>
        <v>8.825961538461538</v>
      </c>
      <c r="N53" s="1">
        <f t="shared" si="24"/>
        <v>8.7490384615384613</v>
      </c>
      <c r="O53" s="1">
        <f t="shared" si="24"/>
        <v>8.6721153846153847</v>
      </c>
      <c r="P53" s="1">
        <f t="shared" si="24"/>
        <v>8.595192307692308</v>
      </c>
      <c r="Q53" s="1">
        <f t="shared" si="24"/>
        <v>8.5182692307692296</v>
      </c>
      <c r="R53" s="1">
        <f t="shared" si="24"/>
        <v>8.4413461538461547</v>
      </c>
      <c r="S53" s="1">
        <f t="shared" si="24"/>
        <v>8.3644230769230781</v>
      </c>
      <c r="T53" s="1">
        <f t="shared" si="24"/>
        <v>8.2874999999999996</v>
      </c>
      <c r="U53" s="1">
        <f t="shared" si="24"/>
        <v>8.210576923076923</v>
      </c>
      <c r="V53" s="1">
        <f t="shared" si="24"/>
        <v>8.1336538461538463</v>
      </c>
      <c r="W53" s="1">
        <f t="shared" si="24"/>
        <v>8.0567307692307573</v>
      </c>
      <c r="X53" s="1">
        <f t="shared" si="24"/>
        <v>0</v>
      </c>
      <c r="Y53" s="1">
        <f t="shared" si="24"/>
        <v>0</v>
      </c>
    </row>
    <row r="54" spans="4:25" x14ac:dyDescent="0.4">
      <c r="D54" t="s">
        <v>22</v>
      </c>
      <c r="E54" t="s">
        <v>23</v>
      </c>
      <c r="F54" s="20">
        <f>AVERAGEIF(K54:Y54,"&gt;0")</f>
        <v>2.3727724081399169</v>
      </c>
      <c r="G54" s="20">
        <f>_xlfn.MINIFS( K54:Y54,
                  K54:Y54,"&gt;0"
                )</f>
        <v>1.5124734310325538</v>
      </c>
      <c r="H54" s="21">
        <f>INDEX( $K$15:$Y$15,
                MATCH(G54,$K54:$Y54,0)
              )</f>
        <v>43373</v>
      </c>
      <c r="K54" s="19">
        <f>IFERROR(K52/K53,0) * K$37</f>
        <v>2.2272191883499302</v>
      </c>
      <c r="L54" s="19">
        <f t="shared" ref="L54:Y54" si="25">IFERROR(L52/L53,0) * L$37</f>
        <v>2.2464629009612267</v>
      </c>
      <c r="M54" s="19">
        <f t="shared" si="25"/>
        <v>2.2660420525111671</v>
      </c>
      <c r="N54" s="19">
        <f t="shared" si="25"/>
        <v>2.2859654907132652</v>
      </c>
      <c r="O54" s="19">
        <f t="shared" si="25"/>
        <v>2.3062423772036813</v>
      </c>
      <c r="P54" s="19">
        <f t="shared" si="25"/>
        <v>1.5124734310325538</v>
      </c>
      <c r="Q54" s="19">
        <f t="shared" si="25"/>
        <v>1.9957105768145391</v>
      </c>
      <c r="R54" s="19">
        <f t="shared" si="25"/>
        <v>2.6062193871739376</v>
      </c>
      <c r="S54" s="19">
        <f t="shared" si="25"/>
        <v>2.6301873778595235</v>
      </c>
      <c r="T54" s="19">
        <f t="shared" si="25"/>
        <v>2.6546003016591251</v>
      </c>
      <c r="U54" s="19">
        <f t="shared" si="25"/>
        <v>2.6794706640121793</v>
      </c>
      <c r="V54" s="19">
        <f t="shared" si="25"/>
        <v>2.7048114434330297</v>
      </c>
      <c r="W54" s="19">
        <f t="shared" si="25"/>
        <v>2.7306361140947648</v>
      </c>
      <c r="X54" s="19">
        <f t="shared" si="25"/>
        <v>0</v>
      </c>
      <c r="Y54" s="19">
        <f t="shared" si="25"/>
        <v>0</v>
      </c>
    </row>
    <row r="55" spans="4:25" ht="12" customHeight="1" x14ac:dyDescent="0.4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4:25" s="1" customFormat="1" x14ac:dyDescent="0.4">
      <c r="D56" s="17" t="s">
        <v>38</v>
      </c>
    </row>
    <row r="57" spans="4:25" s="1" customFormat="1" x14ac:dyDescent="0.4">
      <c r="D57" s="1" t="s">
        <v>35</v>
      </c>
      <c r="E57" s="10">
        <v>4</v>
      </c>
    </row>
    <row r="58" spans="4:25" s="1" customFormat="1" x14ac:dyDescent="0.4">
      <c r="D58" s="1" t="s">
        <v>33</v>
      </c>
      <c r="E58" s="10">
        <v>0</v>
      </c>
    </row>
    <row r="59" spans="4:25" s="1" customFormat="1" x14ac:dyDescent="0.4">
      <c r="D59" s="1" t="s">
        <v>34</v>
      </c>
      <c r="E59" s="25">
        <f>SUM(E57:E58)</f>
        <v>4</v>
      </c>
    </row>
    <row r="60" spans="4:25" s="1" customFormat="1" x14ac:dyDescent="0.4">
      <c r="K60" s="5">
        <f>K$36</f>
        <v>42916</v>
      </c>
      <c r="L60" s="5">
        <f t="shared" ref="L60:Y60" si="26">L$36</f>
        <v>43008</v>
      </c>
      <c r="M60" s="5">
        <f t="shared" si="26"/>
        <v>43100</v>
      </c>
      <c r="N60" s="5">
        <f t="shared" si="26"/>
        <v>43190</v>
      </c>
      <c r="O60" s="5">
        <f t="shared" si="26"/>
        <v>43281</v>
      </c>
      <c r="P60" s="5">
        <f t="shared" si="26"/>
        <v>43373</v>
      </c>
      <c r="Q60" s="5">
        <f t="shared" si="26"/>
        <v>43465</v>
      </c>
      <c r="R60" s="5">
        <f t="shared" si="26"/>
        <v>43555</v>
      </c>
      <c r="S60" s="5">
        <f t="shared" si="26"/>
        <v>43646</v>
      </c>
      <c r="T60" s="5">
        <f t="shared" si="26"/>
        <v>43738</v>
      </c>
      <c r="U60" s="5">
        <f t="shared" si="26"/>
        <v>43830</v>
      </c>
      <c r="V60" s="5">
        <f t="shared" si="26"/>
        <v>43921</v>
      </c>
      <c r="W60" s="5">
        <f t="shared" si="26"/>
        <v>44012</v>
      </c>
      <c r="X60" s="5">
        <f t="shared" si="26"/>
        <v>44104</v>
      </c>
      <c r="Y60" s="5">
        <f t="shared" si="26"/>
        <v>44196</v>
      </c>
    </row>
    <row r="61" spans="4:25" s="1" customFormat="1" x14ac:dyDescent="0.4">
      <c r="D61" s="1" t="s">
        <v>3</v>
      </c>
      <c r="E61" s="1" t="s">
        <v>0</v>
      </c>
      <c r="K61" s="1">
        <f xml:space="preserve"> SUMIFS($K$39:$Y$39,
                  $K$35:$Y$35, "&gt;"&amp;K$35-$E57,
                  $K$35:$Y$35,"&lt;="&amp;K$35)
+ SUMIFS($K$39:$Y$39,
                  $K$35:$Y$35, "&lt;="&amp;K$35+$E58,
                  $K$35:$Y$35,"&gt;"&amp;K$35)</f>
        <v>20</v>
      </c>
      <c r="L61" s="1">
        <f t="shared" ref="L61:Y61" si="27" xml:space="preserve"> SUMIFS($K$39:$Y$39,
                  $K$35:$Y$35, "&gt;"&amp;L$35-$E57,
                  $K$35:$Y$35,"&lt;="&amp;L$35)
+ SUMIFS($K$39:$Y$39,
                  $K$35:$Y$35, "&lt;="&amp;L$35+$E58,
                  $K$35:$Y$35,"&gt;"&amp;L$35)</f>
        <v>40</v>
      </c>
      <c r="M61" s="1">
        <f t="shared" si="27"/>
        <v>60</v>
      </c>
      <c r="N61" s="1">
        <f t="shared" si="27"/>
        <v>80</v>
      </c>
      <c r="O61" s="1">
        <f t="shared" si="27"/>
        <v>80</v>
      </c>
      <c r="P61" s="1">
        <f t="shared" si="27"/>
        <v>73</v>
      </c>
      <c r="Q61" s="1">
        <f t="shared" si="27"/>
        <v>70</v>
      </c>
      <c r="R61" s="1">
        <f t="shared" si="27"/>
        <v>72</v>
      </c>
      <c r="S61" s="1">
        <f t="shared" si="27"/>
        <v>74</v>
      </c>
      <c r="T61" s="1">
        <f t="shared" si="27"/>
        <v>83</v>
      </c>
      <c r="U61" s="1">
        <f t="shared" si="27"/>
        <v>88</v>
      </c>
      <c r="V61" s="1">
        <f t="shared" si="27"/>
        <v>88</v>
      </c>
      <c r="W61" s="1">
        <f t="shared" si="27"/>
        <v>88</v>
      </c>
      <c r="X61" s="1">
        <f t="shared" si="27"/>
        <v>66</v>
      </c>
      <c r="Y61" s="1">
        <f t="shared" si="27"/>
        <v>44</v>
      </c>
    </row>
    <row r="62" spans="4:25" s="1" customFormat="1" x14ac:dyDescent="0.4">
      <c r="D62" s="1" t="s">
        <v>19</v>
      </c>
      <c r="E62" s="1" t="s">
        <v>0</v>
      </c>
      <c r="F62" s="7" t="s">
        <v>2</v>
      </c>
      <c r="G62" s="7" t="s">
        <v>26</v>
      </c>
      <c r="H62" s="7" t="s">
        <v>27</v>
      </c>
      <c r="K62" s="1">
        <f xml:space="preserve"> SUMIFS($K$45:$Y$45,
                  $K$35:$Y$35, "&gt;"&amp;K$35-$E57,
                  $K$35:$Y$35,"&lt;="&amp;K$35)
+ SUMIFS($K$45:$Y$45,
                  $K$35:$Y$35, "&lt;="&amp;K$35+$E58,
                  $K$35:$Y$35,"&gt;"&amp;K$35)</f>
        <v>8.979807692307693</v>
      </c>
      <c r="L62" s="1">
        <f t="shared" ref="L62:Y62" si="28" xml:space="preserve"> SUMIFS($K$45:$Y$45,
                  $K$35:$Y$35, "&gt;"&amp;L$35-$E57,
                  $K$35:$Y$35,"&lt;="&amp;L$35)
+ SUMIFS($K$45:$Y$45,
                  $K$35:$Y$35, "&lt;="&amp;L$35+$E58,
                  $K$35:$Y$35,"&gt;"&amp;L$35)</f>
        <v>17.882692307692309</v>
      </c>
      <c r="M62" s="1">
        <f t="shared" si="28"/>
        <v>26.708653846153847</v>
      </c>
      <c r="N62" s="1">
        <f t="shared" si="28"/>
        <v>35.457692307692312</v>
      </c>
      <c r="O62" s="1">
        <f t="shared" si="28"/>
        <v>35.150000000000006</v>
      </c>
      <c r="P62" s="1">
        <f t="shared" si="28"/>
        <v>34.842307692307692</v>
      </c>
      <c r="Q62" s="1">
        <f t="shared" si="28"/>
        <v>34.534615384615385</v>
      </c>
      <c r="R62" s="1">
        <f t="shared" si="28"/>
        <v>34.226923076923079</v>
      </c>
      <c r="S62" s="1">
        <f t="shared" si="28"/>
        <v>33.919230769230765</v>
      </c>
      <c r="T62" s="1">
        <f t="shared" si="28"/>
        <v>33.611538461538458</v>
      </c>
      <c r="U62" s="1">
        <f t="shared" si="28"/>
        <v>33.303846153846152</v>
      </c>
      <c r="V62" s="1">
        <f t="shared" si="28"/>
        <v>32.996153846153845</v>
      </c>
      <c r="W62" s="1">
        <f t="shared" si="28"/>
        <v>32.688461538461524</v>
      </c>
      <c r="X62" s="1">
        <f t="shared" si="28"/>
        <v>24.400961538461527</v>
      </c>
      <c r="Y62" s="1">
        <f t="shared" si="28"/>
        <v>16.190384615384602</v>
      </c>
    </row>
    <row r="63" spans="4:25" s="1" customFormat="1" x14ac:dyDescent="0.4">
      <c r="D63" s="1" t="s">
        <v>22</v>
      </c>
      <c r="E63" s="1" t="s">
        <v>23</v>
      </c>
      <c r="F63" s="20">
        <f>AVERAGEIF(K63:Y63,"&gt;0")</f>
        <v>2.3169849651301506</v>
      </c>
      <c r="G63" s="20">
        <f>_xlfn.MINIFS( K63:Y63,
                  K63:Y63,"&gt;0"
                )</f>
        <v>2.0269517763670786</v>
      </c>
      <c r="H63" s="21">
        <f>INDEX( $K$15:$Y$15,
                MATCH(G63,$K63:$Y63,0)
              )</f>
        <v>43465</v>
      </c>
      <c r="K63" s="19">
        <f>IFERROR(K61/K62,0) * K$37</f>
        <v>2.2272191883499302</v>
      </c>
      <c r="L63" s="19">
        <f t="shared" ref="L63" si="29">IFERROR(L61/L62,0) * L$37</f>
        <v>2.2367996558769758</v>
      </c>
      <c r="M63" s="19">
        <f t="shared" ref="M63" si="30">IFERROR(M61/M62,0) * M$37</f>
        <v>2.2464629009612267</v>
      </c>
      <c r="N63" s="19">
        <f t="shared" ref="N63" si="31">IFERROR(N61/N62,0) * N$37</f>
        <v>2.2562100010847161</v>
      </c>
      <c r="O63" s="19">
        <f t="shared" ref="O63" si="32">IFERROR(O61/O62,0) * O$37</f>
        <v>2.2759601706970125</v>
      </c>
      <c r="P63" s="19">
        <f t="shared" ref="P63" si="33">IFERROR(P61/P62,0) * P$37</f>
        <v>2.0951539905066783</v>
      </c>
      <c r="Q63" s="19">
        <f t="shared" ref="Q63" si="34">IFERROR(Q61/Q62,0) * Q$37</f>
        <v>2.0269517763670786</v>
      </c>
      <c r="R63" s="19">
        <f t="shared" ref="R63" si="35">IFERROR(R61/R62,0) * R$37</f>
        <v>2.1036071468704347</v>
      </c>
      <c r="S63" s="19">
        <f t="shared" ref="S63" si="36">IFERROR(S61/S62,0) * S$37</f>
        <v>2.1816532486676499</v>
      </c>
      <c r="T63" s="19">
        <f t="shared" ref="T63" si="37">IFERROR(T61/T62,0) * T$37</f>
        <v>2.4693900903993593</v>
      </c>
      <c r="U63" s="19">
        <f t="shared" ref="U63" si="38">IFERROR(U61/U62,0) * U$37</f>
        <v>2.6423374523617049</v>
      </c>
      <c r="V63" s="19">
        <f t="shared" ref="V63" si="39">IFERROR(V61/V62,0) * V$37</f>
        <v>2.6669775032055019</v>
      </c>
      <c r="W63" s="19">
        <f t="shared" ref="W63" si="40">IFERROR(W61/W62,0) * W$37</f>
        <v>2.6920814213436888</v>
      </c>
      <c r="X63" s="19">
        <f t="shared" ref="X63" si="41">IFERROR(X61/X62,0) * X$37</f>
        <v>0</v>
      </c>
      <c r="Y63" s="19">
        <f t="shared" ref="Y63" si="42">IFERROR(Y61/Y62,0) * Y$37</f>
        <v>0</v>
      </c>
    </row>
    <row r="64" spans="4:25" s="1" customFormat="1" x14ac:dyDescent="0.4"/>
    <row r="65" spans="4:25" s="1" customFormat="1" x14ac:dyDescent="0.4">
      <c r="D65" s="17" t="s">
        <v>37</v>
      </c>
    </row>
    <row r="66" spans="4:25" s="1" customFormat="1" x14ac:dyDescent="0.4">
      <c r="D66" s="1" t="s">
        <v>35</v>
      </c>
      <c r="E66" s="10">
        <v>2</v>
      </c>
    </row>
    <row r="67" spans="4:25" s="1" customFormat="1" x14ac:dyDescent="0.4">
      <c r="D67" s="1" t="s">
        <v>33</v>
      </c>
      <c r="E67" s="10">
        <v>2</v>
      </c>
    </row>
    <row r="68" spans="4:25" s="1" customFormat="1" x14ac:dyDescent="0.4">
      <c r="D68" s="1" t="s">
        <v>34</v>
      </c>
      <c r="E68" s="25">
        <f>SUM(E66:E67)</f>
        <v>4</v>
      </c>
    </row>
    <row r="69" spans="4:25" s="1" customFormat="1" x14ac:dyDescent="0.4">
      <c r="D69" s="24"/>
      <c r="K69" s="5">
        <f>K$36</f>
        <v>42916</v>
      </c>
      <c r="L69" s="5">
        <f t="shared" ref="L69:Y69" si="43">L$36</f>
        <v>43008</v>
      </c>
      <c r="M69" s="5">
        <f t="shared" si="43"/>
        <v>43100</v>
      </c>
      <c r="N69" s="5">
        <f t="shared" si="43"/>
        <v>43190</v>
      </c>
      <c r="O69" s="5">
        <f t="shared" si="43"/>
        <v>43281</v>
      </c>
      <c r="P69" s="5">
        <f t="shared" si="43"/>
        <v>43373</v>
      </c>
      <c r="Q69" s="5">
        <f t="shared" si="43"/>
        <v>43465</v>
      </c>
      <c r="R69" s="5">
        <f t="shared" si="43"/>
        <v>43555</v>
      </c>
      <c r="S69" s="5">
        <f t="shared" si="43"/>
        <v>43646</v>
      </c>
      <c r="T69" s="5">
        <f t="shared" si="43"/>
        <v>43738</v>
      </c>
      <c r="U69" s="5">
        <f t="shared" si="43"/>
        <v>43830</v>
      </c>
      <c r="V69" s="5">
        <f t="shared" si="43"/>
        <v>43921</v>
      </c>
      <c r="W69" s="5">
        <f t="shared" si="43"/>
        <v>44012</v>
      </c>
      <c r="X69" s="5">
        <f t="shared" si="43"/>
        <v>44104</v>
      </c>
      <c r="Y69" s="5">
        <f t="shared" si="43"/>
        <v>44196</v>
      </c>
    </row>
    <row r="70" spans="4:25" s="1" customFormat="1" x14ac:dyDescent="0.4">
      <c r="D70" s="1" t="s">
        <v>3</v>
      </c>
      <c r="E70" s="1" t="s">
        <v>0</v>
      </c>
      <c r="K70" s="1">
        <f xml:space="preserve"> SUMIFS($K$39:$Y$39,
                  $K$14:$Y$14, "&gt;"&amp;K$14-$E66,
                  $K$14:$Y$14,"&lt;="&amp;K$14)
+ SUMIFS($K$39:$Y$39,
                  $K$14:$Y$14, "&lt;="&amp;K$14+$E67,
                  $K$14:$Y$14,"&gt;"&amp;K$14)</f>
        <v>60</v>
      </c>
      <c r="L70" s="1">
        <f t="shared" ref="L70:Y70" si="44" xml:space="preserve"> SUMIFS($K$39:$Y$39,
                  $K$14:$Y$14, "&gt;"&amp;L$14-$E66,
                  $K$14:$Y$14,"&lt;="&amp;L$14)
+ SUMIFS($K$39:$Y$39,
                  $K$14:$Y$14, "&lt;="&amp;L$14+$E67,
                  $K$14:$Y$14,"&gt;"&amp;L$14)</f>
        <v>80</v>
      </c>
      <c r="M70" s="1">
        <f t="shared" si="44"/>
        <v>80</v>
      </c>
      <c r="N70" s="1">
        <f t="shared" si="44"/>
        <v>73</v>
      </c>
      <c r="O70" s="1">
        <f t="shared" si="44"/>
        <v>70</v>
      </c>
      <c r="P70" s="1">
        <f t="shared" si="44"/>
        <v>72</v>
      </c>
      <c r="Q70" s="1">
        <f t="shared" si="44"/>
        <v>74</v>
      </c>
      <c r="R70" s="1">
        <f t="shared" si="44"/>
        <v>83</v>
      </c>
      <c r="S70" s="1">
        <f t="shared" si="44"/>
        <v>88</v>
      </c>
      <c r="T70" s="1">
        <f t="shared" si="44"/>
        <v>88</v>
      </c>
      <c r="U70" s="1">
        <f t="shared" si="44"/>
        <v>88</v>
      </c>
      <c r="V70" s="1">
        <f t="shared" si="44"/>
        <v>66</v>
      </c>
      <c r="W70" s="1">
        <f t="shared" si="44"/>
        <v>44</v>
      </c>
      <c r="X70" s="1">
        <f t="shared" si="44"/>
        <v>22</v>
      </c>
      <c r="Y70" s="1">
        <f t="shared" si="44"/>
        <v>0</v>
      </c>
    </row>
    <row r="71" spans="4:25" s="1" customFormat="1" x14ac:dyDescent="0.4">
      <c r="D71" s="1" t="s">
        <v>19</v>
      </c>
      <c r="E71" s="1" t="s">
        <v>0</v>
      </c>
      <c r="F71" s="7" t="s">
        <v>2</v>
      </c>
      <c r="G71" s="7" t="s">
        <v>26</v>
      </c>
      <c r="H71" s="7" t="s">
        <v>27</v>
      </c>
      <c r="K71" s="1">
        <f xml:space="preserve"> SUMIFS($K$45:$Y$45,
                  $K$14:$Y$14, "&gt;"&amp;K$14-$E66,
                  $K$14:$Y$14,"&lt;="&amp;K$14)
+ SUMIFS($K$45:$Y$45,
                  $K$14:$Y$14, "&lt;="&amp;K$14+$E67,
                  $K$14:$Y$14,"&gt;"&amp;K$14)</f>
        <v>26.708653846153851</v>
      </c>
      <c r="L71" s="1">
        <f t="shared" ref="L71:Y71" si="45" xml:space="preserve"> SUMIFS($K$45:$Y$45,
                  $K$14:$Y$14, "&gt;"&amp;L$14-$E66,
                  $K$14:$Y$14,"&lt;="&amp;L$14)
+ SUMIFS($K$45:$Y$45,
                  $K$14:$Y$14, "&lt;="&amp;L$14+$E67,
                  $K$14:$Y$14,"&gt;"&amp;L$14)</f>
        <v>35.457692307692312</v>
      </c>
      <c r="M71" s="1">
        <f t="shared" si="45"/>
        <v>35.150000000000006</v>
      </c>
      <c r="N71" s="1">
        <f t="shared" si="45"/>
        <v>34.842307692307692</v>
      </c>
      <c r="O71" s="1">
        <f t="shared" si="45"/>
        <v>34.534615384615378</v>
      </c>
      <c r="P71" s="1">
        <f t="shared" si="45"/>
        <v>34.226923076923072</v>
      </c>
      <c r="Q71" s="1">
        <f t="shared" si="45"/>
        <v>33.919230769230765</v>
      </c>
      <c r="R71" s="1">
        <f t="shared" si="45"/>
        <v>33.611538461538458</v>
      </c>
      <c r="S71" s="1">
        <f t="shared" si="45"/>
        <v>33.303846153846152</v>
      </c>
      <c r="T71" s="1">
        <f t="shared" si="45"/>
        <v>32.996153846153845</v>
      </c>
      <c r="U71" s="1">
        <f t="shared" si="45"/>
        <v>32.688461538461524</v>
      </c>
      <c r="V71" s="1">
        <f t="shared" si="45"/>
        <v>24.400961538461527</v>
      </c>
      <c r="W71" s="1">
        <f t="shared" si="45"/>
        <v>16.190384615384602</v>
      </c>
      <c r="X71" s="1">
        <f t="shared" si="45"/>
        <v>8.0567307692307573</v>
      </c>
      <c r="Y71" s="1">
        <f t="shared" si="45"/>
        <v>0</v>
      </c>
    </row>
    <row r="72" spans="4:25" s="1" customFormat="1" x14ac:dyDescent="0.4">
      <c r="D72" s="1" t="s">
        <v>22</v>
      </c>
      <c r="E72" s="1" t="s">
        <v>23</v>
      </c>
      <c r="F72" s="20">
        <f>AVERAGEIF(K72:Y72,"&gt;0")</f>
        <v>2.3907122750858036</v>
      </c>
      <c r="G72" s="20">
        <f>_xlfn.MINIFS( K72:Y72,
                  K72:Y72,"&gt;0"
                )</f>
        <v>2.026951776367079</v>
      </c>
      <c r="H72" s="21">
        <f>INDEX( $K$15:$Y$15,
                MATCH(G72,$K72:$Y72,0)
              )</f>
        <v>43281</v>
      </c>
      <c r="K72" s="19">
        <f>IFERROR(K70/K71,0) * K$37</f>
        <v>2.2464629009612267</v>
      </c>
      <c r="L72" s="19">
        <f t="shared" ref="L72" si="46">IFERROR(L70/L71,0) * L$37</f>
        <v>2.2562100010847161</v>
      </c>
      <c r="M72" s="19">
        <f t="shared" ref="M72" si="47">IFERROR(M70/M71,0) * M$37</f>
        <v>2.2759601706970125</v>
      </c>
      <c r="N72" s="19">
        <f t="shared" ref="N72" si="48">IFERROR(N70/N71,0) * N$37</f>
        <v>2.0951539905066783</v>
      </c>
      <c r="O72" s="19">
        <f t="shared" ref="O72" si="49">IFERROR(O70/O71,0) * O$37</f>
        <v>2.026951776367079</v>
      </c>
      <c r="P72" s="19">
        <f t="shared" ref="P72" si="50">IFERROR(P70/P71,0) * P$37</f>
        <v>2.1036071468704352</v>
      </c>
      <c r="Q72" s="19">
        <f t="shared" ref="Q72" si="51">IFERROR(Q70/Q71,0) * Q$37</f>
        <v>2.1816532486676499</v>
      </c>
      <c r="R72" s="19">
        <f t="shared" ref="R72" si="52">IFERROR(R70/R71,0) * R$37</f>
        <v>2.4693900903993593</v>
      </c>
      <c r="S72" s="19">
        <f t="shared" ref="S72" si="53">IFERROR(S70/S71,0) * S$37</f>
        <v>2.6423374523617049</v>
      </c>
      <c r="T72" s="19">
        <f t="shared" ref="T72" si="54">IFERROR(T70/T71,0) * T$37</f>
        <v>2.6669775032055019</v>
      </c>
      <c r="U72" s="19">
        <f t="shared" ref="U72" si="55">IFERROR(U70/U71,0) * U$37</f>
        <v>2.6920814213436888</v>
      </c>
      <c r="V72" s="19">
        <f t="shared" ref="V72" si="56">IFERROR(V70/V71,0) * V$37</f>
        <v>2.704811443433031</v>
      </c>
      <c r="W72" s="19">
        <f t="shared" ref="W72" si="57">IFERROR(W70/W71,0) * W$37</f>
        <v>2.7176624302173678</v>
      </c>
      <c r="X72" s="19">
        <f t="shared" ref="X72" si="58">IFERROR(X70/X71,0) * X$37</f>
        <v>0</v>
      </c>
      <c r="Y72" s="19">
        <f t="shared" ref="Y72" si="59">IFERROR(Y70/Y71,0) * Y$37</f>
        <v>0</v>
      </c>
    </row>
    <row r="73" spans="4:25" s="1" customFormat="1" x14ac:dyDescent="0.4"/>
    <row r="74" spans="4:25" s="1" customFormat="1" x14ac:dyDescent="0.4"/>
    <row r="75" spans="4:25" s="1" customFormat="1" x14ac:dyDescent="0.4">
      <c r="D75" s="17" t="s">
        <v>29</v>
      </c>
      <c r="G75" s="7" t="s">
        <v>30</v>
      </c>
      <c r="H75" s="7" t="s">
        <v>31</v>
      </c>
    </row>
    <row r="76" spans="4:25" s="1" customFormat="1" x14ac:dyDescent="0.4">
      <c r="D76" s="1" t="s">
        <v>39</v>
      </c>
      <c r="G76" s="20">
        <f>F23</f>
        <v>1.2</v>
      </c>
      <c r="H76" s="20">
        <f>F24</f>
        <v>1.1000000000000001</v>
      </c>
      <c r="K76" s="5">
        <f>K$36</f>
        <v>42916</v>
      </c>
      <c r="L76" s="5">
        <f t="shared" ref="L76:Y76" si="60">L36</f>
        <v>43008</v>
      </c>
      <c r="M76" s="5">
        <f t="shared" si="60"/>
        <v>43100</v>
      </c>
      <c r="N76" s="5">
        <f t="shared" si="60"/>
        <v>43190</v>
      </c>
      <c r="O76" s="5">
        <f t="shared" si="60"/>
        <v>43281</v>
      </c>
      <c r="P76" s="5">
        <f t="shared" si="60"/>
        <v>43373</v>
      </c>
      <c r="Q76" s="5">
        <f t="shared" si="60"/>
        <v>43465</v>
      </c>
      <c r="R76" s="5">
        <f t="shared" si="60"/>
        <v>43555</v>
      </c>
      <c r="S76" s="5">
        <f t="shared" si="60"/>
        <v>43646</v>
      </c>
      <c r="T76" s="5">
        <f t="shared" si="60"/>
        <v>43738</v>
      </c>
      <c r="U76" s="5">
        <f t="shared" si="60"/>
        <v>43830</v>
      </c>
      <c r="V76" s="5">
        <f t="shared" si="60"/>
        <v>43921</v>
      </c>
      <c r="W76" s="5">
        <f t="shared" si="60"/>
        <v>44012</v>
      </c>
      <c r="X76" s="5">
        <f t="shared" si="60"/>
        <v>44104</v>
      </c>
      <c r="Y76" s="5">
        <f t="shared" si="60"/>
        <v>44196</v>
      </c>
    </row>
    <row r="77" spans="4:25" x14ac:dyDescent="0.4">
      <c r="D77" t="str">
        <f>D47</f>
        <v>DSCR: In-period</v>
      </c>
      <c r="G77" s="26">
        <f>COUNTIFS($K77:$Y77,"&lt;"&amp;G76,
                      $K77:$Y77, "&lt;&gt;0")</f>
        <v>0</v>
      </c>
      <c r="H77" s="26">
        <f>COUNTIFS($K77:$Y77,"&lt;"&amp;H76,
                      $K77:$Y77, "&lt;&gt;0")</f>
        <v>0</v>
      </c>
      <c r="K77" s="27">
        <f>IF( OR(K54=0,K$27=0),NA(), K54)</f>
        <v>2.2272191883499302</v>
      </c>
      <c r="L77" s="27">
        <f t="shared" ref="L77:Y77" si="61">IF( OR(L54=0,L$27=0),NA(), L54)</f>
        <v>2.2464629009612267</v>
      </c>
      <c r="M77" s="27">
        <f t="shared" si="61"/>
        <v>2.2660420525111671</v>
      </c>
      <c r="N77" s="27">
        <f t="shared" si="61"/>
        <v>2.2859654907132652</v>
      </c>
      <c r="O77" s="27">
        <f t="shared" si="61"/>
        <v>2.3062423772036813</v>
      </c>
      <c r="P77" s="27">
        <f t="shared" si="61"/>
        <v>1.5124734310325538</v>
      </c>
      <c r="Q77" s="27">
        <f t="shared" si="61"/>
        <v>1.9957105768145391</v>
      </c>
      <c r="R77" s="27">
        <f t="shared" si="61"/>
        <v>2.6062193871739376</v>
      </c>
      <c r="S77" s="27">
        <f t="shared" si="61"/>
        <v>2.6301873778595235</v>
      </c>
      <c r="T77" s="27">
        <f t="shared" si="61"/>
        <v>2.6546003016591251</v>
      </c>
      <c r="U77" s="27">
        <f t="shared" si="61"/>
        <v>2.6794706640121793</v>
      </c>
      <c r="V77" s="27">
        <f t="shared" si="61"/>
        <v>2.7048114434330297</v>
      </c>
      <c r="W77" s="27">
        <f t="shared" si="61"/>
        <v>2.7306361140947648</v>
      </c>
      <c r="X77" s="27" t="e">
        <f t="shared" si="61"/>
        <v>#N/A</v>
      </c>
      <c r="Y77" s="27" t="e">
        <f t="shared" si="61"/>
        <v>#N/A</v>
      </c>
    </row>
    <row r="78" spans="4:25" x14ac:dyDescent="0.4">
      <c r="D78" t="str">
        <f>D56</f>
        <v>DSCR: 4 qtr back</v>
      </c>
      <c r="G78" s="26">
        <f t="shared" ref="G78:H79" si="62">COUNTIFS($K78:$Y78,"&lt;"&amp;G77,
                      $K78:$Y78, "&lt;&gt;0")</f>
        <v>0</v>
      </c>
      <c r="H78" s="26">
        <f t="shared" si="62"/>
        <v>0</v>
      </c>
      <c r="K78" s="27">
        <f>IF( OR(K63=0,K$27=0),NA(), K63)</f>
        <v>2.2272191883499302</v>
      </c>
      <c r="L78" s="27">
        <f t="shared" ref="L78:Y78" si="63">IF( OR(L63=0,L$27=0),NA(), L63)</f>
        <v>2.2367996558769758</v>
      </c>
      <c r="M78" s="27">
        <f t="shared" si="63"/>
        <v>2.2464629009612267</v>
      </c>
      <c r="N78" s="27">
        <f t="shared" si="63"/>
        <v>2.2562100010847161</v>
      </c>
      <c r="O78" s="27">
        <f t="shared" si="63"/>
        <v>2.2759601706970125</v>
      </c>
      <c r="P78" s="27">
        <f t="shared" si="63"/>
        <v>2.0951539905066783</v>
      </c>
      <c r="Q78" s="27">
        <f t="shared" si="63"/>
        <v>2.0269517763670786</v>
      </c>
      <c r="R78" s="27">
        <f t="shared" si="63"/>
        <v>2.1036071468704347</v>
      </c>
      <c r="S78" s="27">
        <f t="shared" si="63"/>
        <v>2.1816532486676499</v>
      </c>
      <c r="T78" s="27">
        <f t="shared" si="63"/>
        <v>2.4693900903993593</v>
      </c>
      <c r="U78" s="27">
        <f t="shared" si="63"/>
        <v>2.6423374523617049</v>
      </c>
      <c r="V78" s="27">
        <f t="shared" si="63"/>
        <v>2.6669775032055019</v>
      </c>
      <c r="W78" s="27">
        <f t="shared" si="63"/>
        <v>2.6920814213436888</v>
      </c>
      <c r="X78" s="27" t="e">
        <f t="shared" si="63"/>
        <v>#N/A</v>
      </c>
      <c r="Y78" s="27" t="e">
        <f t="shared" si="63"/>
        <v>#N/A</v>
      </c>
    </row>
    <row r="79" spans="4:25" x14ac:dyDescent="0.4">
      <c r="D79" t="str">
        <f>D65</f>
        <v>DSCR: 2 qtr back and 2 qtr forward</v>
      </c>
      <c r="G79" s="26">
        <f t="shared" si="62"/>
        <v>0</v>
      </c>
      <c r="H79" s="26">
        <f t="shared" si="62"/>
        <v>0</v>
      </c>
      <c r="K79" s="27">
        <f>IF( OR(K72=0,K$27=0),NA(), K72)</f>
        <v>2.2464629009612267</v>
      </c>
      <c r="L79" s="27">
        <f t="shared" ref="L79:Y79" si="64">IF( OR(L72=0,L$27=0),NA(), L72)</f>
        <v>2.2562100010847161</v>
      </c>
      <c r="M79" s="27">
        <f t="shared" si="64"/>
        <v>2.2759601706970125</v>
      </c>
      <c r="N79" s="27">
        <f t="shared" si="64"/>
        <v>2.0951539905066783</v>
      </c>
      <c r="O79" s="27">
        <f t="shared" si="64"/>
        <v>2.026951776367079</v>
      </c>
      <c r="P79" s="27">
        <f t="shared" si="64"/>
        <v>2.1036071468704352</v>
      </c>
      <c r="Q79" s="27">
        <f t="shared" si="64"/>
        <v>2.1816532486676499</v>
      </c>
      <c r="R79" s="27">
        <f t="shared" si="64"/>
        <v>2.4693900903993593</v>
      </c>
      <c r="S79" s="27">
        <f t="shared" si="64"/>
        <v>2.6423374523617049</v>
      </c>
      <c r="T79" s="27">
        <f t="shared" si="64"/>
        <v>2.6669775032055019</v>
      </c>
      <c r="U79" s="27">
        <f t="shared" si="64"/>
        <v>2.6920814213436888</v>
      </c>
      <c r="V79" s="27">
        <f t="shared" si="64"/>
        <v>2.704811443433031</v>
      </c>
      <c r="W79" s="27">
        <f t="shared" si="64"/>
        <v>2.7176624302173678</v>
      </c>
      <c r="X79" s="27" t="e">
        <f t="shared" si="64"/>
        <v>#N/A</v>
      </c>
      <c r="Y79" s="27" t="e">
        <f t="shared" si="64"/>
        <v>#N/A</v>
      </c>
    </row>
    <row r="80" spans="4:25" x14ac:dyDescent="0.4"/>
    <row r="81" x14ac:dyDescent="0.4"/>
    <row r="82" x14ac:dyDescent="0.4"/>
    <row r="83" x14ac:dyDescent="0.4"/>
    <row r="84" x14ac:dyDescent="0.4"/>
    <row r="85" x14ac:dyDescent="0.4"/>
    <row r="86" x14ac:dyDescent="0.4"/>
    <row r="87" x14ac:dyDescent="0.4"/>
    <row r="88" x14ac:dyDescent="0.4"/>
    <row r="89" x14ac:dyDescent="0.4"/>
    <row r="90" x14ac:dyDescent="0.4"/>
    <row r="91" x14ac:dyDescent="0.4"/>
    <row r="92" x14ac:dyDescent="0.4"/>
    <row r="93" x14ac:dyDescent="0.4"/>
    <row r="94" x14ac:dyDescent="0.4"/>
    <row r="95" x14ac:dyDescent="0.4"/>
    <row r="96" x14ac:dyDescent="0.4"/>
    <row r="97" spans="10:25" x14ac:dyDescent="0.4"/>
    <row r="98" spans="10:25" x14ac:dyDescent="0.4"/>
    <row r="99" spans="10:25" x14ac:dyDescent="0.4"/>
    <row r="100" spans="10:25" x14ac:dyDescent="0.4"/>
    <row r="101" spans="10:25" x14ac:dyDescent="0.4"/>
    <row r="102" spans="10:25" x14ac:dyDescent="0.4"/>
    <row r="103" spans="10:25" x14ac:dyDescent="0.4"/>
    <row r="104" spans="10:25" x14ac:dyDescent="0.4"/>
    <row r="105" spans="10:25" x14ac:dyDescent="0.4"/>
    <row r="106" spans="10:25" x14ac:dyDescent="0.4"/>
    <row r="107" spans="10:25" x14ac:dyDescent="0.4"/>
    <row r="108" spans="10:25" x14ac:dyDescent="0.4"/>
    <row r="109" spans="10:25" x14ac:dyDescent="0.4"/>
    <row r="110" spans="10:25" x14ac:dyDescent="0.4">
      <c r="J110" s="17" t="s">
        <v>40</v>
      </c>
    </row>
    <row r="111" spans="10:25" x14ac:dyDescent="0.4">
      <c r="J111" s="1" t="str">
        <f>G75</f>
        <v>Lock-up</v>
      </c>
      <c r="K111" s="28">
        <f>IF(K$27=0,NA(),$G$76)</f>
        <v>1.2</v>
      </c>
      <c r="L111" s="28">
        <f t="shared" ref="L111:Y111" si="65">IF(L$27=0,NA(),$G$76)</f>
        <v>1.2</v>
      </c>
      <c r="M111" s="28">
        <f t="shared" si="65"/>
        <v>1.2</v>
      </c>
      <c r="N111" s="28">
        <f t="shared" si="65"/>
        <v>1.2</v>
      </c>
      <c r="O111" s="28">
        <f t="shared" si="65"/>
        <v>1.2</v>
      </c>
      <c r="P111" s="28">
        <f t="shared" si="65"/>
        <v>1.2</v>
      </c>
      <c r="Q111" s="28">
        <f t="shared" si="65"/>
        <v>1.2</v>
      </c>
      <c r="R111" s="28">
        <f t="shared" si="65"/>
        <v>1.2</v>
      </c>
      <c r="S111" s="28">
        <f t="shared" si="65"/>
        <v>1.2</v>
      </c>
      <c r="T111" s="28">
        <f t="shared" si="65"/>
        <v>1.2</v>
      </c>
      <c r="U111" s="28">
        <f t="shared" si="65"/>
        <v>1.2</v>
      </c>
      <c r="V111" s="28">
        <f t="shared" si="65"/>
        <v>1.2</v>
      </c>
      <c r="W111" s="28">
        <f t="shared" si="65"/>
        <v>1.2</v>
      </c>
      <c r="X111" s="28" t="e">
        <f t="shared" si="65"/>
        <v>#N/A</v>
      </c>
      <c r="Y111" s="28" t="e">
        <f t="shared" si="65"/>
        <v>#N/A</v>
      </c>
    </row>
    <row r="112" spans="10:25" x14ac:dyDescent="0.4">
      <c r="J112" s="1" t="str">
        <f>H75</f>
        <v>Default</v>
      </c>
      <c r="K112" s="28">
        <f>IF(K$27=0,NA(),$H$76)</f>
        <v>1.1000000000000001</v>
      </c>
      <c r="L112" s="28">
        <f t="shared" ref="L112:Y112" si="66">IF(L$27=0,NA(),$H$76)</f>
        <v>1.1000000000000001</v>
      </c>
      <c r="M112" s="28">
        <f t="shared" si="66"/>
        <v>1.1000000000000001</v>
      </c>
      <c r="N112" s="28">
        <f t="shared" si="66"/>
        <v>1.1000000000000001</v>
      </c>
      <c r="O112" s="28">
        <f t="shared" si="66"/>
        <v>1.1000000000000001</v>
      </c>
      <c r="P112" s="28">
        <f t="shared" si="66"/>
        <v>1.1000000000000001</v>
      </c>
      <c r="Q112" s="28">
        <f t="shared" si="66"/>
        <v>1.1000000000000001</v>
      </c>
      <c r="R112" s="28">
        <f t="shared" si="66"/>
        <v>1.1000000000000001</v>
      </c>
      <c r="S112" s="28">
        <f t="shared" si="66"/>
        <v>1.1000000000000001</v>
      </c>
      <c r="T112" s="28">
        <f t="shared" si="66"/>
        <v>1.1000000000000001</v>
      </c>
      <c r="U112" s="28">
        <f t="shared" si="66"/>
        <v>1.1000000000000001</v>
      </c>
      <c r="V112" s="28">
        <f t="shared" si="66"/>
        <v>1.1000000000000001</v>
      </c>
      <c r="W112" s="28">
        <f t="shared" si="66"/>
        <v>1.1000000000000001</v>
      </c>
      <c r="X112" s="28" t="e">
        <f t="shared" si="66"/>
        <v>#N/A</v>
      </c>
      <c r="Y112" s="28" t="e">
        <f t="shared" si="66"/>
        <v>#N/A</v>
      </c>
    </row>
    <row r="113" x14ac:dyDescent="0.4"/>
    <row r="114" x14ac:dyDescent="0.4"/>
    <row r="115" x14ac:dyDescent="0.4"/>
    <row r="116" x14ac:dyDescent="0.4"/>
    <row r="117" x14ac:dyDescent="0.4"/>
    <row r="118" x14ac:dyDescent="0.4"/>
    <row r="119" x14ac:dyDescent="0.4"/>
    <row r="120" hidden="1" x14ac:dyDescent="0.4"/>
    <row r="121" hidden="1" x14ac:dyDescent="0.4"/>
    <row r="122" hidden="1" x14ac:dyDescent="0.4"/>
    <row r="123" hidden="1" x14ac:dyDescent="0.4"/>
    <row r="124" hidden="1" x14ac:dyDescent="0.4"/>
    <row r="125" hidden="1" x14ac:dyDescent="0.4"/>
    <row r="126" hidden="1" x14ac:dyDescent="0.4"/>
    <row r="127" hidden="1" x14ac:dyDescent="0.4"/>
    <row r="128" hidden="1" x14ac:dyDescent="0.4"/>
    <row r="129" hidden="1" x14ac:dyDescent="0.4"/>
    <row r="130" hidden="1" x14ac:dyDescent="0.4"/>
    <row r="131" hidden="1" x14ac:dyDescent="0.4"/>
    <row r="132" hidden="1" x14ac:dyDescent="0.4"/>
    <row r="133" hidden="1" x14ac:dyDescent="0.4"/>
    <row r="134" hidden="1" x14ac:dyDescent="0.4"/>
    <row r="135" hidden="1" x14ac:dyDescent="0.4"/>
    <row r="136" hidden="1" x14ac:dyDescent="0.4"/>
    <row r="137" hidden="1" x14ac:dyDescent="0.4"/>
    <row r="138" hidden="1" x14ac:dyDescent="0.4"/>
    <row r="139" hidden="1" x14ac:dyDescent="0.4"/>
    <row r="140" hidden="1" x14ac:dyDescent="0.4"/>
    <row r="141" hidden="1" x14ac:dyDescent="0.4"/>
    <row r="142" hidden="1" x14ac:dyDescent="0.4"/>
    <row r="143" hidden="1" x14ac:dyDescent="0.4"/>
    <row r="144" hidden="1" x14ac:dyDescent="0.4"/>
    <row r="145" hidden="1" x14ac:dyDescent="0.4"/>
    <row r="146" hidden="1" x14ac:dyDescent="0.4"/>
    <row r="147" hidden="1" x14ac:dyDescent="0.4"/>
    <row r="148" hidden="1" x14ac:dyDescent="0.4"/>
    <row r="149" hidden="1" x14ac:dyDescent="0.4"/>
    <row r="150" hidden="1" x14ac:dyDescent="0.4"/>
    <row r="151" hidden="1" x14ac:dyDescent="0.4"/>
    <row r="152" hidden="1" x14ac:dyDescent="0.4"/>
    <row r="153" hidden="1" x14ac:dyDescent="0.4"/>
    <row r="154" hidden="1" x14ac:dyDescent="0.4"/>
    <row r="155" hidden="1" x14ac:dyDescent="0.4"/>
    <row r="156" hidden="1" x14ac:dyDescent="0.4"/>
    <row r="157" hidden="1" x14ac:dyDescent="0.4"/>
    <row r="158" hidden="1" x14ac:dyDescent="0.4"/>
    <row r="159" hidden="1" x14ac:dyDescent="0.4"/>
    <row r="160" hidden="1" x14ac:dyDescent="0.4"/>
    <row r="161" hidden="1" x14ac:dyDescent="0.4"/>
    <row r="162" hidden="1" x14ac:dyDescent="0.4"/>
    <row r="163" hidden="1" x14ac:dyDescent="0.4"/>
    <row r="164" hidden="1" x14ac:dyDescent="0.4"/>
    <row r="165" hidden="1" x14ac:dyDescent="0.4"/>
    <row r="166" hidden="1" x14ac:dyDescent="0.4"/>
    <row r="167" hidden="1" x14ac:dyDescent="0.4"/>
    <row r="168" hidden="1" x14ac:dyDescent="0.4"/>
    <row r="169" hidden="1" x14ac:dyDescent="0.4"/>
    <row r="170" hidden="1" x14ac:dyDescent="0.4"/>
    <row r="171" hidden="1" x14ac:dyDescent="0.4"/>
    <row r="172" hidden="1" x14ac:dyDescent="0.4"/>
    <row r="173" hidden="1" x14ac:dyDescent="0.4"/>
    <row r="174" hidden="1" x14ac:dyDescent="0.4"/>
    <row r="175" hidden="1" x14ac:dyDescent="0.4"/>
    <row r="176" hidden="1" x14ac:dyDescent="0.4"/>
    <row r="177" hidden="1" x14ac:dyDescent="0.4"/>
    <row r="178" hidden="1" x14ac:dyDescent="0.4"/>
    <row r="179" hidden="1" x14ac:dyDescent="0.4"/>
    <row r="180" hidden="1" x14ac:dyDescent="0.4"/>
    <row r="181" hidden="1" x14ac:dyDescent="0.4"/>
    <row r="182" hidden="1" x14ac:dyDescent="0.4"/>
    <row r="183" hidden="1" x14ac:dyDescent="0.4"/>
    <row r="184" hidden="1" x14ac:dyDescent="0.4"/>
    <row r="185" hidden="1" x14ac:dyDescent="0.4"/>
    <row r="186" hidden="1" x14ac:dyDescent="0.4"/>
    <row r="187" hidden="1" x14ac:dyDescent="0.4"/>
    <row r="188" hidden="1" x14ac:dyDescent="0.4"/>
    <row r="189" hidden="1" x14ac:dyDescent="0.4"/>
    <row r="190" hidden="1" x14ac:dyDescent="0.4"/>
    <row r="191" hidden="1" x14ac:dyDescent="0.4"/>
    <row r="192" hidden="1" x14ac:dyDescent="0.4"/>
    <row r="193" hidden="1" x14ac:dyDescent="0.4"/>
    <row r="194" hidden="1" x14ac:dyDescent="0.4"/>
    <row r="195" hidden="1" x14ac:dyDescent="0.4"/>
    <row r="196" hidden="1" x14ac:dyDescent="0.4"/>
    <row r="197" hidden="1" x14ac:dyDescent="0.4"/>
    <row r="198" hidden="1" x14ac:dyDescent="0.4"/>
    <row r="199" hidden="1" x14ac:dyDescent="0.4"/>
    <row r="200" hidden="1" x14ac:dyDescent="0.4"/>
    <row r="201" hidden="1" x14ac:dyDescent="0.4"/>
    <row r="202" hidden="1" x14ac:dyDescent="0.4"/>
  </sheetData>
  <conditionalFormatting sqref="K37:Y37">
    <cfRule type="cellIs" dxfId="4" priority="11" operator="equal">
      <formula>1</formula>
    </cfRule>
  </conditionalFormatting>
  <conditionalFormatting sqref="G77:H79">
    <cfRule type="cellIs" dxfId="3" priority="8" operator="equal">
      <formula>0</formula>
    </cfRule>
  </conditionalFormatting>
  <conditionalFormatting sqref="K54:Y54">
    <cfRule type="cellIs" dxfId="2" priority="6" operator="equal">
      <formula>$G54</formula>
    </cfRule>
  </conditionalFormatting>
  <conditionalFormatting sqref="K63:Y63">
    <cfRule type="cellIs" dxfId="1" priority="2" operator="equal">
      <formula>$G63</formula>
    </cfRule>
  </conditionalFormatting>
  <conditionalFormatting sqref="K72:Y72">
    <cfRule type="cellIs" dxfId="0" priority="1" operator="equal">
      <formula>$G72</formula>
    </cfRule>
  </conditionalFormatting>
  <dataValidations disablePrompts="1" count="1">
    <dataValidation type="list" allowBlank="1" showInputMessage="1" showErrorMessage="1" sqref="F18">
      <formula1>$K$14:$Y$14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Cover</vt:lpstr>
      <vt:lpstr>DSCR</vt:lpstr>
      <vt:lpstr>Constant.QuartersInYear</vt:lpstr>
      <vt:lpstr>Constants.MonthsInQuarter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2017-07-13T01:59:14Z</dcterms:modified>
</cp:coreProperties>
</file>