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Nick Crawley\Dropbox\02. Business\01. Vector\04. Marketing\Webpage\Blogs\03. LLCR\"/>
    </mc:Choice>
  </mc:AlternateContent>
  <bookViews>
    <workbookView xWindow="0" yWindow="0" windowWidth="11558" windowHeight="10268" tabRatio="864"/>
  </bookViews>
  <sheets>
    <sheet name="Cover" sheetId="52" r:id="rId1"/>
    <sheet name="LLCR" sheetId="55" r:id="rId2"/>
  </sheets>
  <definedNames>
    <definedName name="Constant.QuartersInYear">LLCR!$F$11</definedName>
    <definedName name="Constants.MonthsInQuarter">LLCR!$F$12</definedName>
    <definedName name="Tolerance.Rounding">LLCR!#REF!</definedName>
  </definedNames>
  <calcPr calcId="171027" calcMode="autoNoTable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6" i="55" l="1"/>
  <c r="L16" i="55"/>
  <c r="M16" i="55" s="1"/>
  <c r="N16" i="55" s="1"/>
  <c r="O16" i="55" s="1"/>
  <c r="P16" i="55" s="1"/>
  <c r="Q16" i="55" s="1"/>
  <c r="R16" i="55" s="1"/>
  <c r="S16" i="55" s="1"/>
  <c r="T16" i="55" s="1"/>
  <c r="U16" i="55" s="1"/>
  <c r="V16" i="55" s="1"/>
  <c r="W16" i="55" s="1"/>
  <c r="X16" i="55" s="1"/>
  <c r="Y16" i="55" s="1"/>
  <c r="K27" i="55" l="1"/>
  <c r="K34" i="55" l="1"/>
  <c r="K38" i="55" s="1"/>
  <c r="F28" i="55"/>
  <c r="K28" i="55" s="1"/>
  <c r="K36" i="55" s="1"/>
  <c r="L25" i="55"/>
  <c r="K41" i="55"/>
  <c r="K45" i="55" s="1"/>
  <c r="L14" i="55"/>
  <c r="L32" i="55" s="1"/>
  <c r="M14" i="55"/>
  <c r="N14" i="55" s="1"/>
  <c r="K32" i="55"/>
  <c r="L15" i="55"/>
  <c r="M15" i="55" s="1"/>
  <c r="N15" i="55" s="1"/>
  <c r="K33" i="55"/>
  <c r="K43" i="55" s="1"/>
  <c r="H50" i="55"/>
  <c r="K82" i="55" s="1"/>
  <c r="G50" i="55"/>
  <c r="K81" i="55" s="1"/>
  <c r="J82" i="55"/>
  <c r="J81" i="55"/>
  <c r="D51" i="55"/>
  <c r="M9" i="52"/>
  <c r="L26" i="55" l="1"/>
  <c r="L27" i="55" s="1"/>
  <c r="K50" i="55"/>
  <c r="M32" i="55"/>
  <c r="N32" i="55"/>
  <c r="O14" i="55"/>
  <c r="L33" i="55"/>
  <c r="K37" i="55"/>
  <c r="L81" i="55"/>
  <c r="L28" i="55"/>
  <c r="L36" i="55" s="1"/>
  <c r="L37" i="55" s="1"/>
  <c r="L82" i="55"/>
  <c r="L34" i="55"/>
  <c r="L41" i="55"/>
  <c r="L45" i="55" s="1"/>
  <c r="O15" i="55"/>
  <c r="N33" i="55"/>
  <c r="M33" i="55"/>
  <c r="L50" i="55" l="1"/>
  <c r="L43" i="55"/>
  <c r="P14" i="55"/>
  <c r="O32" i="55"/>
  <c r="M25" i="55"/>
  <c r="L38" i="55"/>
  <c r="M43" i="55"/>
  <c r="M50" i="55"/>
  <c r="N50" i="55"/>
  <c r="N43" i="55"/>
  <c r="P15" i="55"/>
  <c r="O33" i="55"/>
  <c r="M26" i="55" l="1"/>
  <c r="M27" i="55" s="1"/>
  <c r="P32" i="55"/>
  <c r="Q14" i="55"/>
  <c r="M34" i="55"/>
  <c r="M81" i="55"/>
  <c r="M41" i="55"/>
  <c r="M45" i="55" s="1"/>
  <c r="M28" i="55"/>
  <c r="M82" i="55"/>
  <c r="O50" i="55"/>
  <c r="O43" i="55"/>
  <c r="Q15" i="55"/>
  <c r="P33" i="55"/>
  <c r="Q32" i="55" l="1"/>
  <c r="R14" i="55"/>
  <c r="M36" i="55"/>
  <c r="M38" i="55"/>
  <c r="N25" i="55"/>
  <c r="R15" i="55"/>
  <c r="Q33" i="55"/>
  <c r="P50" i="55"/>
  <c r="P43" i="55"/>
  <c r="N26" i="55" l="1"/>
  <c r="N27" i="55" s="1"/>
  <c r="R32" i="55"/>
  <c r="S14" i="55"/>
  <c r="M37" i="55"/>
  <c r="N34" i="55"/>
  <c r="N81" i="55"/>
  <c r="N41" i="55"/>
  <c r="N45" i="55" s="1"/>
  <c r="N82" i="55"/>
  <c r="N28" i="55"/>
  <c r="S15" i="55"/>
  <c r="R33" i="55"/>
  <c r="Q43" i="55"/>
  <c r="Q50" i="55"/>
  <c r="T14" i="55" l="1"/>
  <c r="S32" i="55"/>
  <c r="O25" i="55"/>
  <c r="N38" i="55"/>
  <c r="N36" i="55"/>
  <c r="T15" i="55"/>
  <c r="S33" i="55"/>
  <c r="R50" i="55"/>
  <c r="R43" i="55"/>
  <c r="O26" i="55" l="1"/>
  <c r="O27" i="55" s="1"/>
  <c r="T32" i="55"/>
  <c r="U14" i="55"/>
  <c r="O34" i="55"/>
  <c r="O38" i="55" s="1"/>
  <c r="O28" i="55"/>
  <c r="O36" i="55" s="1"/>
  <c r="O82" i="55"/>
  <c r="O41" i="55"/>
  <c r="O45" i="55" s="1"/>
  <c r="O81" i="55"/>
  <c r="N37" i="55"/>
  <c r="T33" i="55"/>
  <c r="U15" i="55"/>
  <c r="S50" i="55"/>
  <c r="S43" i="55"/>
  <c r="U32" i="55" l="1"/>
  <c r="V14" i="55"/>
  <c r="O37" i="55"/>
  <c r="P25" i="55"/>
  <c r="T43" i="55"/>
  <c r="T50" i="55"/>
  <c r="V15" i="55"/>
  <c r="U33" i="55"/>
  <c r="P26" i="55" l="1"/>
  <c r="P27" i="55" s="1"/>
  <c r="V32" i="55"/>
  <c r="W14" i="55"/>
  <c r="P41" i="55"/>
  <c r="P45" i="55" s="1"/>
  <c r="P82" i="55"/>
  <c r="P81" i="55"/>
  <c r="P34" i="55"/>
  <c r="P28" i="55"/>
  <c r="P36" i="55" s="1"/>
  <c r="U43" i="55"/>
  <c r="U50" i="55"/>
  <c r="W15" i="55"/>
  <c r="V33" i="55"/>
  <c r="X14" i="55" l="1"/>
  <c r="W32" i="55"/>
  <c r="P37" i="55"/>
  <c r="P38" i="55"/>
  <c r="Q25" i="55"/>
  <c r="V50" i="55"/>
  <c r="V43" i="55"/>
  <c r="X15" i="55"/>
  <c r="W33" i="55"/>
  <c r="Q26" i="55" l="1"/>
  <c r="Q27" i="55" s="1"/>
  <c r="X32" i="55"/>
  <c r="Y14" i="55"/>
  <c r="Y32" i="55" s="1"/>
  <c r="Q41" i="55"/>
  <c r="Q45" i="55" s="1"/>
  <c r="Q34" i="55"/>
  <c r="Q28" i="55"/>
  <c r="Q36" i="55" s="1"/>
  <c r="Q82" i="55"/>
  <c r="Q81" i="55"/>
  <c r="W43" i="55"/>
  <c r="W50" i="55"/>
  <c r="X33" i="55"/>
  <c r="Y15" i="55"/>
  <c r="Y33" i="55" s="1"/>
  <c r="Q37" i="55" l="1"/>
  <c r="Q38" i="55"/>
  <c r="R25" i="55"/>
  <c r="Y43" i="55"/>
  <c r="Y50" i="55"/>
  <c r="X50" i="55"/>
  <c r="X43" i="55"/>
  <c r="R26" i="55" l="1"/>
  <c r="R27" i="55" s="1"/>
  <c r="R34" i="55"/>
  <c r="R82" i="55"/>
  <c r="R28" i="55"/>
  <c r="R36" i="55" s="1"/>
  <c r="R81" i="55"/>
  <c r="R41" i="55"/>
  <c r="R45" i="55" s="1"/>
  <c r="R37" i="55" l="1"/>
  <c r="R38" i="55"/>
  <c r="S25" i="55"/>
  <c r="S26" i="55" l="1"/>
  <c r="S27" i="55" s="1"/>
  <c r="S28" i="55"/>
  <c r="S36" i="55" s="1"/>
  <c r="S34" i="55"/>
  <c r="S81" i="55"/>
  <c r="S82" i="55"/>
  <c r="S41" i="55"/>
  <c r="S45" i="55" s="1"/>
  <c r="S37" i="55" l="1"/>
  <c r="S38" i="55"/>
  <c r="T25" i="55"/>
  <c r="T26" i="55" l="1"/>
  <c r="T27" i="55" s="1"/>
  <c r="T28" i="55"/>
  <c r="T36" i="55" s="1"/>
  <c r="T41" i="55"/>
  <c r="T45" i="55" s="1"/>
  <c r="T34" i="55"/>
  <c r="T82" i="55"/>
  <c r="T81" i="55"/>
  <c r="T37" i="55" l="1"/>
  <c r="T38" i="55"/>
  <c r="U25" i="55"/>
  <c r="U26" i="55" l="1"/>
  <c r="U27" i="55" s="1"/>
  <c r="U41" i="55"/>
  <c r="U45" i="55" s="1"/>
  <c r="U34" i="55"/>
  <c r="U81" i="55"/>
  <c r="U28" i="55"/>
  <c r="U82" i="55"/>
  <c r="U38" i="55" l="1"/>
  <c r="U36" i="55"/>
  <c r="U37" i="55" s="1"/>
  <c r="V25" i="55"/>
  <c r="V26" i="55" l="1"/>
  <c r="V27" i="55" s="1"/>
  <c r="V81" i="55"/>
  <c r="V28" i="55"/>
  <c r="V82" i="55"/>
  <c r="V41" i="55"/>
  <c r="V45" i="55" s="1"/>
  <c r="V34" i="55"/>
  <c r="W25" i="55" l="1"/>
  <c r="V38" i="55"/>
  <c r="V36" i="55"/>
  <c r="V37" i="55" s="1"/>
  <c r="W26" i="55" l="1"/>
  <c r="W27" i="55" s="1"/>
  <c r="W81" i="55"/>
  <c r="W28" i="55"/>
  <c r="W34" i="55"/>
  <c r="W82" i="55"/>
  <c r="W41" i="55"/>
  <c r="W45" i="55" s="1"/>
  <c r="W38" i="55" l="1"/>
  <c r="W36" i="55"/>
  <c r="W37" i="55" s="1"/>
  <c r="X25" i="55"/>
  <c r="X26" i="55" l="1"/>
  <c r="X27" i="55" s="1"/>
  <c r="X34" i="55"/>
  <c r="X82" i="55"/>
  <c r="X28" i="55"/>
  <c r="X41" i="55"/>
  <c r="X45" i="55" s="1"/>
  <c r="X81" i="55"/>
  <c r="X36" i="55" l="1"/>
  <c r="X37" i="55" s="1"/>
  <c r="X38" i="55"/>
  <c r="Y25" i="55"/>
  <c r="Y26" i="55" l="1"/>
  <c r="Y27" i="55" s="1"/>
  <c r="Y81" i="55"/>
  <c r="J26" i="55"/>
  <c r="Y82" i="55"/>
  <c r="Y41" i="55"/>
  <c r="Y45" i="55" s="1"/>
  <c r="Y28" i="55"/>
  <c r="Y34" i="55"/>
  <c r="Y38" i="55" l="1"/>
  <c r="Y36" i="55"/>
  <c r="Y37" i="55" s="1"/>
  <c r="J28" i="55"/>
  <c r="Y39" i="55" l="1"/>
  <c r="X39" i="55" s="1"/>
  <c r="W39" i="55" s="1"/>
  <c r="V39" i="55" s="1"/>
  <c r="U39" i="55" s="1"/>
  <c r="T39" i="55" s="1"/>
  <c r="S39" i="55" s="1"/>
  <c r="R39" i="55" s="1"/>
  <c r="Q39" i="55" s="1"/>
  <c r="P39" i="55" s="1"/>
  <c r="O39" i="55" s="1"/>
  <c r="N39" i="55" s="1"/>
  <c r="M39" i="55" s="1"/>
  <c r="L39" i="55" s="1"/>
  <c r="K39" i="55" s="1"/>
  <c r="Y44" i="55" l="1"/>
  <c r="Y46" i="55" s="1"/>
  <c r="Y51" i="55" s="1"/>
  <c r="X44" i="55"/>
  <c r="X46" i="55" s="1"/>
  <c r="X51" i="55" s="1"/>
  <c r="W44" i="55"/>
  <c r="W46" i="55" s="1"/>
  <c r="W51" i="55" s="1"/>
  <c r="V44" i="55" l="1"/>
  <c r="V46" i="55" s="1"/>
  <c r="V51" i="55" s="1"/>
  <c r="U44" i="55" l="1"/>
  <c r="U46" i="55" s="1"/>
  <c r="U51" i="55" s="1"/>
  <c r="T44" i="55" l="1"/>
  <c r="T46" i="55" s="1"/>
  <c r="T51" i="55" s="1"/>
  <c r="S44" i="55" l="1"/>
  <c r="S46" i="55" s="1"/>
  <c r="S51" i="55" s="1"/>
  <c r="R44" i="55" l="1"/>
  <c r="R46" i="55" s="1"/>
  <c r="R51" i="55" s="1"/>
  <c r="Q44" i="55" l="1"/>
  <c r="Q46" i="55" s="1"/>
  <c r="Q51" i="55" s="1"/>
  <c r="P44" i="55" l="1"/>
  <c r="P46" i="55" s="1"/>
  <c r="P51" i="55" s="1"/>
  <c r="O44" i="55" l="1"/>
  <c r="O46" i="55" s="1"/>
  <c r="O51" i="55" s="1"/>
  <c r="N44" i="55" l="1"/>
  <c r="N46" i="55" s="1"/>
  <c r="N51" i="55" s="1"/>
  <c r="M44" i="55" l="1"/>
  <c r="M46" i="55" s="1"/>
  <c r="M51" i="55" s="1"/>
  <c r="K44" i="55" l="1"/>
  <c r="K46" i="55" s="1"/>
  <c r="L44" i="55"/>
  <c r="L46" i="55" s="1"/>
  <c r="L51" i="55" s="1"/>
  <c r="F46" i="55" l="1"/>
  <c r="G46" i="55"/>
  <c r="H46" i="55" s="1"/>
  <c r="K51" i="55"/>
  <c r="G51" i="55" l="1"/>
  <c r="H51" i="55"/>
</calcChain>
</file>

<file path=xl/sharedStrings.xml><?xml version="1.0" encoding="utf-8"?>
<sst xmlns="http://schemas.openxmlformats.org/spreadsheetml/2006/main" count="56" uniqueCount="36">
  <si>
    <t>$M</t>
  </si>
  <si>
    <t>CFADS</t>
  </si>
  <si>
    <t>Senior Facility A</t>
  </si>
  <si>
    <t>Balance b/f</t>
  </si>
  <si>
    <t>Balance c/f</t>
  </si>
  <si>
    <t>Interest rate (total)</t>
  </si>
  <si>
    <t xml:space="preserve">Interest </t>
  </si>
  <si>
    <t xml:space="preserve">Repayments made over [X] </t>
  </si>
  <si>
    <t>% p.a.</t>
  </si>
  <si>
    <t>Quarters in a year</t>
  </si>
  <si>
    <t>Quarter ending</t>
  </si>
  <si>
    <t>x</t>
  </si>
  <si>
    <t>Calculate ?</t>
  </si>
  <si>
    <t>[1,0]</t>
  </si>
  <si>
    <t>Min</t>
  </si>
  <si>
    <t>Min date</t>
  </si>
  <si>
    <t>Qtrs</t>
  </si>
  <si>
    <t>Lock-up</t>
  </si>
  <si>
    <t>Default</t>
  </si>
  <si>
    <t>Months in a quarter</t>
  </si>
  <si>
    <t>Quarter reference</t>
  </si>
  <si>
    <t>Covenants</t>
  </si>
  <si>
    <t>Data for plot</t>
  </si>
  <si>
    <t>Extracts required for demonstration</t>
  </si>
  <si>
    <t>Cost of debt</t>
  </si>
  <si>
    <t>% p.q.</t>
  </si>
  <si>
    <t>CFADS (NPV)</t>
  </si>
  <si>
    <t>LLCR</t>
  </si>
  <si>
    <t>Debt balance b/f</t>
  </si>
  <si>
    <t>Summary for plot only</t>
  </si>
  <si>
    <t>LLCR@COD</t>
  </si>
  <si>
    <t>1+r</t>
  </si>
  <si>
    <t xml:space="preserve">CFADS (NPV) </t>
  </si>
  <si>
    <t>Repayment (equal instalments)</t>
  </si>
  <si>
    <t>The LLCR calculation</t>
  </si>
  <si>
    <t>These are the key pick-ups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</si>
</sst>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#,##0_);\(#,##0\);&quot;- &quot;"/>
    <numFmt numFmtId="168" formatCode="#,##0.0_);\(#,##0.0\);\-_);"/>
    <numFmt numFmtId="169" formatCode="#,##0.0_);\(#,##0.0\);\-_);_-@_-"/>
    <numFmt numFmtId="170" formatCode="#,##0.0_);\(#,##0.0\);&quot;- &quot;"/>
    <numFmt numFmtId="171" formatCode="0.00&quot; x&quot;"/>
    <numFmt numFmtId="172" formatCode="&quot;&quot;"/>
    <numFmt numFmtId="173" formatCode="0&quot; x&quot;"/>
    <numFmt numFmtId="174" formatCode="0.00&quot; x&quot;;;#&quot;&quot;"/>
    <numFmt numFmtId="175" formatCode="#,##0.000_);\(#,##0.000\);&quot;- &quot;"/>
    <numFmt numFmtId="176" formatCode="#,##0.00_);\(#,##0.00\);&quot;- &quot;"/>
  </numFmts>
  <fonts count="33" x14ac:knownFonts="1">
    <font>
      <sz val="10"/>
      <color theme="1"/>
      <name val="Calibri Light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sz val="18"/>
      <color rgb="FF003057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1" tint="0.499984740745262"/>
      <name val="Calibri Light"/>
      <family val="2"/>
      <scheme val="major"/>
    </font>
    <font>
      <sz val="10"/>
      <color theme="0"/>
      <name val="Calibri Light"/>
      <family val="2"/>
      <scheme val="major"/>
    </font>
    <font>
      <sz val="12"/>
      <color theme="0"/>
      <name val="Calibri Light"/>
      <family val="2"/>
      <scheme val="major"/>
    </font>
    <font>
      <b/>
      <sz val="12"/>
      <name val="Calibri Light"/>
      <family val="2"/>
      <scheme val="major"/>
    </font>
    <font>
      <strike/>
      <sz val="10"/>
      <color theme="1"/>
      <name val="Calibri Light"/>
      <family val="2"/>
      <scheme val="major"/>
    </font>
    <font>
      <sz val="10"/>
      <color theme="5"/>
      <name val="Calibri Light"/>
      <family val="2"/>
      <scheme val="major"/>
    </font>
    <font>
      <sz val="10"/>
      <color theme="4" tint="-0.24994659260841701"/>
      <name val="Calibri Light"/>
      <family val="2"/>
      <scheme val="major"/>
    </font>
    <font>
      <sz val="10"/>
      <color rgb="FF2F75B5"/>
      <name val="Calibri Light"/>
      <family val="2"/>
      <scheme val="major"/>
    </font>
    <font>
      <sz val="18"/>
      <color theme="5"/>
      <name val="Calibri Light"/>
      <family val="2"/>
      <scheme val="major"/>
    </font>
    <font>
      <u/>
      <sz val="10"/>
      <name val="Calibri Light"/>
      <family val="2"/>
      <scheme val="major"/>
    </font>
    <font>
      <sz val="10"/>
      <color rgb="FFC00000"/>
      <name val="Calibri Light"/>
      <family val="2"/>
      <scheme val="maj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A7A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thin">
        <color theme="6"/>
      </bottom>
      <diagonal/>
    </border>
  </borders>
  <cellStyleXfs count="64">
    <xf numFmtId="170" fontId="0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14" fillId="0" borderId="0" applyNumberFormat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3" applyNumberFormat="0" applyAlignment="0" applyProtection="0"/>
    <xf numFmtId="0" fontId="8" fillId="6" borderId="4" applyNumberFormat="0" applyAlignment="0" applyProtection="0"/>
    <xf numFmtId="0" fontId="9" fillId="6" borderId="3" applyNumberFormat="0" applyAlignment="0" applyProtection="0"/>
    <xf numFmtId="0" fontId="10" fillId="0" borderId="5" applyNumberFormat="0" applyFill="0" applyAlignment="0" applyProtection="0"/>
    <xf numFmtId="0" fontId="11" fillId="7" borderId="6" applyNumberFormat="0" applyAlignment="0" applyProtection="0"/>
    <xf numFmtId="0" fontId="12" fillId="0" borderId="0" applyNumberFormat="0" applyFill="0" applyBorder="0" applyAlignment="0" applyProtection="0"/>
    <xf numFmtId="0" fontId="1" fillId="8" borderId="7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30" fillId="0" borderId="0" applyNumberFormat="0" applyFill="0"/>
    <xf numFmtId="0" fontId="28" fillId="0" borderId="0" applyNumberFormat="0" applyFill="0" applyBorder="0"/>
    <xf numFmtId="0" fontId="17" fillId="0" borderId="0" applyNumberFormat="0" applyBorder="0"/>
    <xf numFmtId="0" fontId="29" fillId="35" borderId="12" applyNumberFormat="0" applyProtection="0"/>
    <xf numFmtId="0" fontId="27" fillId="37" borderId="12" applyNumberFormat="0"/>
    <xf numFmtId="0" fontId="21" fillId="9" borderId="12" applyNumberFormat="0"/>
    <xf numFmtId="164" fontId="16" fillId="9" borderId="0" applyFont="0" applyFill="0" applyBorder="0" applyAlignment="0" applyProtection="0"/>
    <xf numFmtId="165" fontId="16" fillId="9" borderId="0" applyFont="0" applyFill="0" applyBorder="0" applyAlignment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5" fillId="33" borderId="0" applyNumberFormat="0" applyBorder="0" applyAlignment="0" applyProtection="0"/>
    <xf numFmtId="167" fontId="21" fillId="0" borderId="9" applyNumberFormat="0"/>
    <xf numFmtId="0" fontId="23" fillId="34" borderId="12" applyNumberFormat="0">
      <alignment horizontal="center"/>
    </xf>
    <xf numFmtId="169" fontId="20" fillId="0" borderId="10" applyFill="0" applyAlignment="0"/>
    <xf numFmtId="169" fontId="20" fillId="0" borderId="11" applyNumberFormat="0" applyFill="0"/>
    <xf numFmtId="43" fontId="22" fillId="36" borderId="12" applyNumberFormat="0" applyAlignment="0"/>
    <xf numFmtId="15" fontId="1" fillId="0" borderId="0" applyFont="0" applyFill="0" applyBorder="0">
      <alignment horizontal="right"/>
    </xf>
    <xf numFmtId="0" fontId="25" fillId="9" borderId="0" applyNumberFormat="0" applyFill="0" applyBorder="0">
      <alignment horizontal="left"/>
    </xf>
    <xf numFmtId="0" fontId="19" fillId="0" borderId="0" applyNumberFormat="0" applyFill="0" applyBorder="0" applyAlignment="0" applyProtection="0"/>
    <xf numFmtId="0" fontId="24" fillId="34" borderId="12" applyNumberFormat="0"/>
    <xf numFmtId="0" fontId="20" fillId="0" borderId="13" applyNumberFormat="0" applyFill="0" applyAlignment="0"/>
    <xf numFmtId="0" fontId="31" fillId="9" borderId="0" applyFill="0" applyBorder="0">
      <alignment horizontal="left"/>
    </xf>
  </cellStyleXfs>
  <cellXfs count="34">
    <xf numFmtId="170" fontId="0" fillId="0" borderId="0" xfId="0"/>
    <xf numFmtId="170" fontId="0" fillId="0" borderId="0" xfId="0"/>
    <xf numFmtId="170" fontId="26" fillId="0" borderId="0" xfId="0" applyFont="1"/>
    <xf numFmtId="170" fontId="0" fillId="0" borderId="0" xfId="0" applyBorder="1"/>
    <xf numFmtId="167" fontId="29" fillId="35" borderId="12" xfId="24" applyNumberFormat="1"/>
    <xf numFmtId="15" fontId="23" fillId="34" borderId="12" xfId="54" applyNumberFormat="1">
      <alignment horizontal="center"/>
    </xf>
    <xf numFmtId="170" fontId="25" fillId="0" borderId="0" xfId="59" applyNumberFormat="1" applyFill="1">
      <alignment horizontal="left"/>
    </xf>
    <xf numFmtId="170" fontId="23" fillId="34" borderId="12" xfId="54" applyNumberFormat="1">
      <alignment horizontal="center"/>
    </xf>
    <xf numFmtId="167" fontId="23" fillId="34" borderId="12" xfId="54" applyNumberFormat="1">
      <alignment horizontal="center"/>
    </xf>
    <xf numFmtId="167" fontId="27" fillId="37" borderId="12" xfId="25" applyNumberFormat="1"/>
    <xf numFmtId="170" fontId="29" fillId="35" borderId="12" xfId="24" applyNumberFormat="1"/>
    <xf numFmtId="170" fontId="0" fillId="0" borderId="0" xfId="0" quotePrefix="1"/>
    <xf numFmtId="170" fontId="0" fillId="0" borderId="0" xfId="0" applyFill="1" applyBorder="1"/>
    <xf numFmtId="10" fontId="29" fillId="35" borderId="12" xfId="24" applyNumberFormat="1"/>
    <xf numFmtId="170" fontId="21" fillId="9" borderId="12" xfId="26" applyNumberFormat="1"/>
    <xf numFmtId="0" fontId="31" fillId="0" borderId="0" xfId="63" applyFill="1">
      <alignment horizontal="left"/>
    </xf>
    <xf numFmtId="10" fontId="21" fillId="9" borderId="12" xfId="26" applyNumberFormat="1"/>
    <xf numFmtId="171" fontId="0" fillId="0" borderId="0" xfId="0" applyNumberFormat="1"/>
    <xf numFmtId="171" fontId="21" fillId="9" borderId="12" xfId="26" applyNumberFormat="1" applyAlignment="1">
      <alignment horizontal="center"/>
    </xf>
    <xf numFmtId="15" fontId="21" fillId="9" borderId="12" xfId="26" applyNumberFormat="1"/>
    <xf numFmtId="172" fontId="22" fillId="36" borderId="12" xfId="57" applyNumberFormat="1"/>
    <xf numFmtId="171" fontId="29" fillId="35" borderId="12" xfId="24" applyNumberFormat="1"/>
    <xf numFmtId="173" fontId="32" fillId="38" borderId="12" xfId="26" applyNumberFormat="1" applyFont="1" applyFill="1" applyAlignment="1">
      <alignment horizontal="center"/>
    </xf>
    <xf numFmtId="174" fontId="27" fillId="37" borderId="12" xfId="25" applyNumberFormat="1"/>
    <xf numFmtId="10" fontId="0" fillId="0" borderId="0" xfId="0" applyNumberFormat="1"/>
    <xf numFmtId="175" fontId="0" fillId="0" borderId="0" xfId="0" applyNumberFormat="1"/>
    <xf numFmtId="174" fontId="21" fillId="9" borderId="12" xfId="26" applyNumberFormat="1"/>
    <xf numFmtId="9" fontId="29" fillId="35" borderId="12" xfId="24" applyNumberFormat="1"/>
    <xf numFmtId="170" fontId="28" fillId="0" borderId="0" xfId="22" applyNumberFormat="1"/>
    <xf numFmtId="176" fontId="0" fillId="0" borderId="0" xfId="0" applyNumberFormat="1"/>
    <xf numFmtId="176" fontId="29" fillId="35" borderId="12" xfId="24" applyNumberFormat="1"/>
    <xf numFmtId="176" fontId="21" fillId="0" borderId="9" xfId="53" applyNumberFormat="1"/>
    <xf numFmtId="170" fontId="22" fillId="36" borderId="12" xfId="57" applyNumberFormat="1"/>
    <xf numFmtId="170" fontId="28" fillId="0" borderId="13" xfId="22" applyNumberFormat="1" applyBorder="1" applyAlignment="1">
      <alignment horizontal="center"/>
    </xf>
  </cellXfs>
  <cellStyles count="64">
    <cellStyle name="20% - Accent1" xfId="30" builtinId="30" hidden="1"/>
    <cellStyle name="20% - Accent2" xfId="34" builtinId="34" hidden="1"/>
    <cellStyle name="20% - Accent3" xfId="38" builtinId="38" hidden="1"/>
    <cellStyle name="20% - Accent4" xfId="42" builtinId="42" hidden="1"/>
    <cellStyle name="20% - Accent5" xfId="46" builtinId="46" hidden="1"/>
    <cellStyle name="20% - Accent6" xfId="50" builtinId="50" hidden="1"/>
    <cellStyle name="40% - Accent1" xfId="31" builtinId="31" hidden="1"/>
    <cellStyle name="40% - Accent2" xfId="35" builtinId="35" hidden="1"/>
    <cellStyle name="40% - Accent3" xfId="39" builtinId="39" hidden="1"/>
    <cellStyle name="40% - Accent4" xfId="43" builtinId="43" hidden="1"/>
    <cellStyle name="40% - Accent5" xfId="47" builtinId="47" hidden="1"/>
    <cellStyle name="40% - Accent6" xfId="51" builtinId="51" hidden="1"/>
    <cellStyle name="60% - Accent1" xfId="32" builtinId="32" hidden="1"/>
    <cellStyle name="60% - Accent2" xfId="36" builtinId="36" hidden="1"/>
    <cellStyle name="60% - Accent3" xfId="40" builtinId="40" hidden="1"/>
    <cellStyle name="60% - Accent4" xfId="44" builtinId="44" hidden="1"/>
    <cellStyle name="60% - Accent5" xfId="48" builtinId="48" hidden="1"/>
    <cellStyle name="60% - Accent6" xfId="52" builtinId="52" hidden="1"/>
    <cellStyle name="Accent1" xfId="29" builtinId="29" hidden="1"/>
    <cellStyle name="Accent2" xfId="33" builtinId="33" hidden="1"/>
    <cellStyle name="Accent3" xfId="37" builtinId="37" hidden="1"/>
    <cellStyle name="Accent4" xfId="41" builtinId="41" hidden="1"/>
    <cellStyle name="Accent5" xfId="45" builtinId="45" hidden="1"/>
    <cellStyle name="Accent6" xfId="49" builtinId="49" hidden="1"/>
    <cellStyle name="Bad" xfId="10" builtinId="27" hidden="1"/>
    <cellStyle name="Calculation" xfId="14" builtinId="22" hidden="1"/>
    <cellStyle name="Cell.Input" xfId="24"/>
    <cellStyle name="Cell.Memo" xfId="22"/>
    <cellStyle name="Cell.System" xfId="25"/>
    <cellStyle name="Cell.Void" xfId="57"/>
    <cellStyle name="Check Cell" xfId="16" builtinId="23" hidden="1"/>
    <cellStyle name="Comma" xfId="1" builtinId="3" customBuiltin="1"/>
    <cellStyle name="Comma [0]" xfId="2" builtinId="6" customBuiltin="1"/>
    <cellStyle name="Comma 1dp" xfId="28"/>
    <cellStyle name="Comma 2dp" xfId="27"/>
    <cellStyle name="Currency" xfId="3" builtinId="4" hidden="1"/>
    <cellStyle name="Currency [0]" xfId="4" builtinId="7" hidden="1"/>
    <cellStyle name="Date" xfId="58"/>
    <cellStyle name="Explanatory Text" xfId="19" builtinId="53" hidden="1"/>
    <cellStyle name="Good" xfId="9" builtinId="26" hidden="1"/>
    <cellStyle name="Header.1" xfId="59"/>
    <cellStyle name="Header.2" xfId="63"/>
    <cellStyle name="Header.Sheet" xfId="21"/>
    <cellStyle name="Header.Table" xfId="54"/>
    <cellStyle name="Heading 1" xfId="6" builtinId="16" hidden="1"/>
    <cellStyle name="Heading 2" xfId="7" builtinId="17" hidden="1"/>
    <cellStyle name="Heading 3" xfId="8" builtinId="18" hidden="1" customBuiltin="1"/>
    <cellStyle name="Heading 4" xfId="60" builtinId="19" hidden="1"/>
    <cellStyle name="Input" xfId="12" builtinId="20" hidden="1"/>
    <cellStyle name="Line.Balance" xfId="53"/>
    <cellStyle name="Line.Calc" xfId="26"/>
    <cellStyle name="Line.Total.Multi" xfId="55"/>
    <cellStyle name="Line.Total.Simple" xfId="56"/>
    <cellStyle name="Linked Cell" xfId="15" builtinId="24" hidden="1"/>
    <cellStyle name="Neutral" xfId="11" builtinId="28" hidden="1"/>
    <cellStyle name="Normal" xfId="0" builtinId="0" customBuiltin="1"/>
    <cellStyle name="Note" xfId="18" builtinId="10" hidden="1"/>
    <cellStyle name="Note" xfId="23" builtinId="10" hidden="1" customBuiltin="1"/>
    <cellStyle name="Output" xfId="13" builtinId="21" hidden="1"/>
    <cellStyle name="TabMinor" xfId="61"/>
    <cellStyle name="TabMinorLine" xfId="62"/>
    <cellStyle name="Title" xfId="5" builtinId="15" hidden="1" customBuiltin="1"/>
    <cellStyle name="Total" xfId="20" builtinId="25" hidden="1"/>
    <cellStyle name="Warning Text" xfId="17" builtinId="11" hidden="1"/>
  </cellStyles>
  <dxfs count="4">
    <dxf>
      <font>
        <color rgb="FFC00000"/>
      </font>
      <fill>
        <patternFill>
          <bgColor rgb="FFFFD1D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C00000"/>
      </font>
      <fill>
        <patternFill>
          <bgColor rgb="FFFFD1D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theme="9" tint="-0.499984740745262"/>
      </font>
      <fill>
        <patternFill>
          <fgColor theme="0" tint="-0.24994659260841701"/>
          <bgColor theme="9" tint="0.59996337778862885"/>
        </patternFill>
      </fill>
      <border>
        <vertical/>
        <horizontal/>
      </border>
    </dxf>
    <dxf>
      <font>
        <color rgb="FFC6E0B4"/>
      </font>
      <fill>
        <patternFill>
          <fgColor theme="0" tint="-0.24994659260841701"/>
          <bgColor rgb="FFC6E0B4"/>
        </patternFill>
      </fill>
      <border>
        <left style="thin">
          <color theme="9" tint="-0.24994659260841701"/>
        </left>
        <right style="thin">
          <color theme="9" tint="-0.24994659260841701"/>
        </right>
        <top style="thin">
          <color theme="9" tint="-0.24994659260841701"/>
        </top>
        <bottom style="thin">
          <color theme="9" tint="-0.24994659260841701"/>
        </bottom>
        <vertical/>
        <horizontal/>
      </border>
    </dxf>
  </dxfs>
  <tableStyles count="0" defaultTableStyle="TableStyleMedium2" defaultPivotStyle="PivotStyleLight16"/>
  <colors>
    <mruColors>
      <color rgb="FFF79C57"/>
      <color rgb="FFFFD1D1"/>
      <color rgb="FFF9F9F9"/>
      <color rgb="FFF6F6F6"/>
      <color rgb="FFFDFDFD"/>
      <color rgb="FFFFA7A9"/>
      <color rgb="FFC6E0B4"/>
      <color rgb="FFD9D9D9"/>
      <color rgb="FFF2F2F2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400" b="1"/>
              <a:t>CFADS (NPV), Debt balance and LLCR</a:t>
            </a:r>
          </a:p>
        </c:rich>
      </c:tx>
      <c:layout>
        <c:manualLayout>
          <c:xMode val="edge"/>
          <c:yMode val="edge"/>
          <c:x val="5.4302923800580397E-2"/>
          <c:y val="1.4584138192230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280036629648395E-2"/>
          <c:y val="8.6224915162915555E-2"/>
          <c:w val="0.89547227445103239"/>
          <c:h val="0.67183408796589494"/>
        </c:manualLayout>
      </c:layout>
      <c:barChart>
        <c:barDir val="col"/>
        <c:grouping val="clustered"/>
        <c:varyColors val="0"/>
        <c:ser>
          <c:idx val="0"/>
          <c:order val="0"/>
          <c:tx>
            <c:v>CFADS (NPV)</c:v>
          </c:tx>
          <c:spPr>
            <a:solidFill>
              <a:srgbClr val="F79C57"/>
            </a:solidFill>
            <a:ln>
              <a:noFill/>
            </a:ln>
            <a:effectLst/>
          </c:spPr>
          <c:invertIfNegative val="0"/>
          <c:cat>
            <c:numRef>
              <c:f>LLCR!$K$33:$Y$33</c:f>
              <c:numCache>
                <c:formatCode>d\-mmm\-yy</c:formatCode>
                <c:ptCount val="15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</c:numCache>
            </c:numRef>
          </c:cat>
          <c:val>
            <c:numRef>
              <c:f>LLCR!$K$44:$Y$44</c:f>
              <c:numCache>
                <c:formatCode>#,##0.0_);\(#,##0.0\);"- "</c:formatCode>
                <c:ptCount val="15"/>
                <c:pt idx="0">
                  <c:v>185.20242686696531</c:v>
                </c:pt>
                <c:pt idx="1">
                  <c:v>172.51745720280238</c:v>
                </c:pt>
                <c:pt idx="2">
                  <c:v>159.3739254178374</c:v>
                </c:pt>
                <c:pt idx="3">
                  <c:v>145.76009948556037</c:v>
                </c:pt>
                <c:pt idx="4">
                  <c:v>131.66398072912989</c:v>
                </c:pt>
                <c:pt idx="5">
                  <c:v>117.073298088244</c:v>
                </c:pt>
                <c:pt idx="6">
                  <c:v>101.97550226634705</c:v>
                </c:pt>
                <c:pt idx="7">
                  <c:v>86.357759755716373</c:v>
                </c:pt>
                <c:pt idx="8">
                  <c:v>70.206946737923616</c:v>
                </c:pt>
                <c:pt idx="9">
                  <c:v>53.509642857113676</c:v>
                </c:pt>
                <c:pt idx="10">
                  <c:v>36.252124863492931</c:v>
                </c:pt>
                <c:pt idx="11">
                  <c:v>18.420360124365224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A-4559-9C80-28F8D3A16253}"/>
            </c:ext>
          </c:extLst>
        </c:ser>
        <c:ser>
          <c:idx val="1"/>
          <c:order val="1"/>
          <c:tx>
            <c:strRef>
              <c:f>LLCR!$D$45</c:f>
              <c:strCache>
                <c:ptCount val="1"/>
                <c:pt idx="0">
                  <c:v>Debt balance b/f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LLCR!$K$33:$Y$33</c:f>
              <c:numCache>
                <c:formatCode>d\-mmm\-yy</c:formatCode>
                <c:ptCount val="15"/>
                <c:pt idx="0">
                  <c:v>42916</c:v>
                </c:pt>
                <c:pt idx="1">
                  <c:v>43008</c:v>
                </c:pt>
                <c:pt idx="2">
                  <c:v>43100</c:v>
                </c:pt>
                <c:pt idx="3">
                  <c:v>43190</c:v>
                </c:pt>
                <c:pt idx="4">
                  <c:v>43281</c:v>
                </c:pt>
                <c:pt idx="5">
                  <c:v>43373</c:v>
                </c:pt>
                <c:pt idx="6">
                  <c:v>43465</c:v>
                </c:pt>
                <c:pt idx="7">
                  <c:v>43555</c:v>
                </c:pt>
                <c:pt idx="8">
                  <c:v>43646</c:v>
                </c:pt>
                <c:pt idx="9">
                  <c:v>43738</c:v>
                </c:pt>
                <c:pt idx="10">
                  <c:v>43830</c:v>
                </c:pt>
                <c:pt idx="11">
                  <c:v>43921</c:v>
                </c:pt>
                <c:pt idx="12">
                  <c:v>44012</c:v>
                </c:pt>
                <c:pt idx="13">
                  <c:v>44104</c:v>
                </c:pt>
                <c:pt idx="14">
                  <c:v>44196</c:v>
                </c:pt>
              </c:numCache>
            </c:numRef>
          </c:cat>
          <c:val>
            <c:numRef>
              <c:f>LLCR!$K$45:$Y$45</c:f>
              <c:numCache>
                <c:formatCode>#,##0.0_);\(#,##0.0\);"- "</c:formatCode>
                <c:ptCount val="15"/>
                <c:pt idx="0">
                  <c:v>100</c:v>
                </c:pt>
                <c:pt idx="1">
                  <c:v>91.666666666666671</c:v>
                </c:pt>
                <c:pt idx="2">
                  <c:v>83.333333333333343</c:v>
                </c:pt>
                <c:pt idx="3">
                  <c:v>75.000000000000014</c:v>
                </c:pt>
                <c:pt idx="4">
                  <c:v>66.666666666666686</c:v>
                </c:pt>
                <c:pt idx="5">
                  <c:v>58.33333333333335</c:v>
                </c:pt>
                <c:pt idx="6">
                  <c:v>50.000000000000014</c:v>
                </c:pt>
                <c:pt idx="7">
                  <c:v>41.666666666666679</c:v>
                </c:pt>
                <c:pt idx="8">
                  <c:v>33.333333333333343</c:v>
                </c:pt>
                <c:pt idx="9">
                  <c:v>25.000000000000007</c:v>
                </c:pt>
                <c:pt idx="10">
                  <c:v>16.666666666666671</c:v>
                </c:pt>
                <c:pt idx="11">
                  <c:v>8.3333333333333375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A-4559-9C80-28F8D3A1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100"/>
        <c:axId val="594972216"/>
        <c:axId val="594976808"/>
      </c:barChart>
      <c:lineChart>
        <c:grouping val="standard"/>
        <c:varyColors val="0"/>
        <c:ser>
          <c:idx val="2"/>
          <c:order val="2"/>
          <c:tx>
            <c:strRef>
              <c:f>LLCR!$D$51</c:f>
              <c:strCache>
                <c:ptCount val="1"/>
                <c:pt idx="0">
                  <c:v>LLCR</c:v>
                </c:pt>
              </c:strCache>
            </c:strRef>
          </c:tx>
          <c:spPr>
            <a:ln w="19050" cap="rnd" cmpd="sng">
              <a:solidFill>
                <a:schemeClr val="accent2">
                  <a:lumMod val="90000"/>
                  <a:lumOff val="10000"/>
                  <a:alpha val="53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12700">
                <a:solidFill>
                  <a:schemeClr val="accent2">
                    <a:lumMod val="90000"/>
                    <a:lumOff val="10000"/>
                  </a:schemeClr>
                </a:solidFill>
              </a:ln>
              <a:effectLst/>
            </c:spPr>
          </c:marker>
          <c:val>
            <c:numRef>
              <c:f>LLCR!$K$51:$Y$51</c:f>
              <c:numCache>
                <c:formatCode>0.00" x";;#""</c:formatCode>
                <c:ptCount val="15"/>
                <c:pt idx="0">
                  <c:v>1.8520242686696531</c:v>
                </c:pt>
                <c:pt idx="1">
                  <c:v>1.8820086240305713</c:v>
                </c:pt>
                <c:pt idx="2">
                  <c:v>1.9124871050140486</c:v>
                </c:pt>
                <c:pt idx="3">
                  <c:v>1.9434679931408045</c:v>
                </c:pt>
                <c:pt idx="4">
                  <c:v>1.9749597109369479</c:v>
                </c:pt>
                <c:pt idx="5">
                  <c:v>2.0069708243698967</c:v>
                </c:pt>
                <c:pt idx="6">
                  <c:v>2.0395100453269404</c:v>
                </c:pt>
                <c:pt idx="7">
                  <c:v>2.0725862341371926</c:v>
                </c:pt>
                <c:pt idx="8">
                  <c:v>2.1062084021377077</c:v>
                </c:pt>
                <c:pt idx="9">
                  <c:v>2.1403857142845464</c:v>
                </c:pt>
                <c:pt idx="10">
                  <c:v>2.1751274918095751</c:v>
                </c:pt>
                <c:pt idx="11">
                  <c:v>2.210443214923826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A-4559-9C80-28F8D3A16253}"/>
            </c:ext>
          </c:extLst>
        </c:ser>
        <c:ser>
          <c:idx val="6"/>
          <c:order val="3"/>
          <c:tx>
            <c:strRef>
              <c:f>LLCR!$K$81:$Y$81</c:f>
              <c:strCache>
                <c:ptCount val="15"/>
                <c:pt idx="0">
                  <c:v>1.40 x</c:v>
                </c:pt>
                <c:pt idx="1">
                  <c:v>1.40 x</c:v>
                </c:pt>
                <c:pt idx="2">
                  <c:v>1.40 x</c:v>
                </c:pt>
                <c:pt idx="3">
                  <c:v>1.40 x</c:v>
                </c:pt>
                <c:pt idx="4">
                  <c:v>1.40 x</c:v>
                </c:pt>
                <c:pt idx="5">
                  <c:v>1.40 x</c:v>
                </c:pt>
                <c:pt idx="6">
                  <c:v>1.40 x</c:v>
                </c:pt>
                <c:pt idx="7">
                  <c:v>1.40 x</c:v>
                </c:pt>
                <c:pt idx="8">
                  <c:v>1.40 x</c:v>
                </c:pt>
                <c:pt idx="9">
                  <c:v>1.40 x</c:v>
                </c:pt>
                <c:pt idx="10">
                  <c:v>1.40 x</c:v>
                </c:pt>
                <c:pt idx="11">
                  <c:v>1.40 x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strCache>
            </c:strRef>
          </c:tx>
          <c:spPr>
            <a:ln w="28575" cap="rnd">
              <a:solidFill>
                <a:srgbClr val="C00000">
                  <a:alpha val="42000"/>
                </a:srgbClr>
              </a:solidFill>
              <a:round/>
            </a:ln>
            <a:effectLst/>
          </c:spPr>
          <c:marker>
            <c:symbol val="none"/>
          </c:marker>
          <c:val>
            <c:numRef>
              <c:f>LLCR!$K$81:$Y$81</c:f>
              <c:numCache>
                <c:formatCode>0.00" x";;#""</c:formatCode>
                <c:ptCount val="15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1.4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1A-4559-9C80-28F8D3A16253}"/>
            </c:ext>
          </c:extLst>
        </c:ser>
        <c:ser>
          <c:idx val="7"/>
          <c:order val="4"/>
          <c:tx>
            <c:strRef>
              <c:f>LLCR!$J$82</c:f>
              <c:strCache>
                <c:ptCount val="1"/>
                <c:pt idx="0">
                  <c:v>Default</c:v>
                </c:pt>
              </c:strCache>
            </c:strRef>
          </c:tx>
          <c:spPr>
            <a:ln w="19050" cap="rnd">
              <a:solidFill>
                <a:srgbClr val="C00000">
                  <a:alpha val="76000"/>
                </a:srgbClr>
              </a:solidFill>
              <a:round/>
            </a:ln>
            <a:effectLst/>
          </c:spPr>
          <c:marker>
            <c:symbol val="none"/>
          </c:marker>
          <c:val>
            <c:numRef>
              <c:f>LLCR!$K$82:$Y$82</c:f>
              <c:numCache>
                <c:formatCode>0.00" x";;#""</c:formatCode>
                <c:ptCount val="15"/>
                <c:pt idx="0">
                  <c:v>1.2</c:v>
                </c:pt>
                <c:pt idx="1">
                  <c:v>1.2</c:v>
                </c:pt>
                <c:pt idx="2">
                  <c:v>1.2</c:v>
                </c:pt>
                <c:pt idx="3">
                  <c:v>1.2</c:v>
                </c:pt>
                <c:pt idx="4">
                  <c:v>1.2</c:v>
                </c:pt>
                <c:pt idx="5">
                  <c:v>1.2</c:v>
                </c:pt>
                <c:pt idx="6">
                  <c:v>1.2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1A-4559-9C80-28F8D3A1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947616"/>
        <c:axId val="594949912"/>
      </c:lineChart>
      <c:dateAx>
        <c:axId val="5949722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976808"/>
        <c:crosses val="autoZero"/>
        <c:auto val="1"/>
        <c:lblOffset val="100"/>
        <c:baseTimeUnit val="months"/>
        <c:majorUnit val="3"/>
        <c:majorTimeUnit val="months"/>
        <c:minorUnit val="3"/>
        <c:minorTimeUnit val="months"/>
      </c:dateAx>
      <c:valAx>
        <c:axId val="594976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1000" b="1"/>
                  <a:t>$  Million</a:t>
                </a:r>
              </a:p>
            </c:rich>
          </c:tx>
          <c:layout>
            <c:manualLayout>
              <c:xMode val="edge"/>
              <c:yMode val="edge"/>
              <c:x val="5.6184538811952973E-4"/>
              <c:y val="0.423835941361067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972216"/>
        <c:crosses val="autoZero"/>
        <c:crossBetween val="between"/>
      </c:valAx>
      <c:valAx>
        <c:axId val="594949912"/>
        <c:scaling>
          <c:orientation val="minMax"/>
          <c:min val="0.70000000000000007"/>
        </c:scaling>
        <c:delete val="0"/>
        <c:axPos val="r"/>
        <c:numFmt formatCode="0.00&quot; x&quot;;;#&quot;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947616"/>
        <c:crosses val="max"/>
        <c:crossBetween val="between"/>
      </c:valAx>
      <c:catAx>
        <c:axId val="59494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594949912"/>
        <c:crosses val="autoZero"/>
        <c:auto val="1"/>
        <c:lblAlgn val="ctr"/>
        <c:lblOffset val="100"/>
        <c:noMultiLvlLbl val="0"/>
      </c:catAx>
      <c:spPr>
        <a:solidFill>
          <a:srgbClr val="F9F9F9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9542192421698945E-2"/>
          <c:y val="0.83292534662855666"/>
          <c:w val="0.40476264012396068"/>
          <c:h val="0.1527183444801970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hyperlink" Target="http://www.VectorFinancialModelling.com.au" TargetMode="External"/><Relationship Id="rId5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0</xdr:colOff>
      <xdr:row>58</xdr:row>
      <xdr:rowOff>0</xdr:rowOff>
    </xdr:to>
    <xdr:pic>
      <xdr:nvPicPr>
        <xdr:cNvPr id="7" name="Picture 6" descr="Contents43x29cm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26"/>
        <a:stretch/>
      </xdr:blipFill>
      <xdr:spPr>
        <a:xfrm>
          <a:off x="0" y="0"/>
          <a:ext cx="17526000" cy="9575800"/>
        </a:xfrm>
        <a:prstGeom prst="rect">
          <a:avLst/>
        </a:prstGeom>
      </xdr:spPr>
    </xdr:pic>
    <xdr:clientData/>
  </xdr:twoCellAnchor>
  <xdr:twoCellAnchor>
    <xdr:from>
      <xdr:col>5</xdr:col>
      <xdr:colOff>188267</xdr:colOff>
      <xdr:row>6</xdr:row>
      <xdr:rowOff>17929</xdr:rowOff>
    </xdr:from>
    <xdr:to>
      <xdr:col>21</xdr:col>
      <xdr:colOff>439278</xdr:colOff>
      <xdr:row>10</xdr:row>
      <xdr:rowOff>2711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657711" y="985548"/>
          <a:ext cx="8153234" cy="6298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4000" b="0">
              <a:solidFill>
                <a:schemeClr val="bg1"/>
              </a:solidFill>
            </a:rPr>
            <a:t>Project finance</a:t>
          </a:r>
          <a:r>
            <a:rPr lang="en-AU" sz="4000" b="0" baseline="0">
              <a:solidFill>
                <a:schemeClr val="bg1"/>
              </a:solidFill>
            </a:rPr>
            <a:t> modelling essentials.</a:t>
          </a:r>
          <a:endParaRPr lang="en-AU" sz="400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179303</xdr:colOff>
      <xdr:row>11</xdr:row>
      <xdr:rowOff>107577</xdr:rowOff>
    </xdr:from>
    <xdr:to>
      <xdr:col>24</xdr:col>
      <xdr:colOff>252413</xdr:colOff>
      <xdr:row>15</xdr:row>
      <xdr:rowOff>17929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727241" y="1941140"/>
          <a:ext cx="9755272" cy="577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800">
              <a:solidFill>
                <a:schemeClr val="bg1"/>
              </a:solidFill>
            </a:rPr>
            <a:t>Calculating</a:t>
          </a:r>
          <a:r>
            <a:rPr lang="en-AU" sz="2800" baseline="0">
              <a:solidFill>
                <a:schemeClr val="bg1"/>
              </a:solidFill>
            </a:rPr>
            <a:t> a Loan Life Cover Ratio</a:t>
          </a:r>
          <a:endParaRPr lang="en-AU" sz="28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209614</xdr:colOff>
      <xdr:row>18</xdr:row>
      <xdr:rowOff>319</xdr:rowOff>
    </xdr:from>
    <xdr:to>
      <xdr:col>14</xdr:col>
      <xdr:colOff>353049</xdr:colOff>
      <xdr:row>21</xdr:row>
      <xdr:rowOff>80682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664511" y="2946195"/>
          <a:ext cx="4562249" cy="571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 u="none">
              <a:solidFill>
                <a:schemeClr val="bg1"/>
              </a:solidFill>
            </a:rPr>
            <a:t>Key lines</a:t>
          </a:r>
        </a:p>
      </xdr:txBody>
    </xdr:sp>
    <xdr:clientData/>
  </xdr:twoCellAnchor>
  <xdr:twoCellAnchor>
    <xdr:from>
      <xdr:col>5</xdr:col>
      <xdr:colOff>215164</xdr:colOff>
      <xdr:row>21</xdr:row>
      <xdr:rowOff>81798</xdr:rowOff>
    </xdr:from>
    <xdr:to>
      <xdr:col>16</xdr:col>
      <xdr:colOff>349607</xdr:colOff>
      <xdr:row>33</xdr:row>
      <xdr:rowOff>141112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2786915" y="3548898"/>
          <a:ext cx="5792292" cy="2040514"/>
          <a:chOff x="2483224" y="4554070"/>
          <a:chExt cx="4950317" cy="1888487"/>
        </a:xfrm>
      </xdr:grpSpPr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2483224" y="4554070"/>
            <a:ext cx="4903694" cy="627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2400">
                <a:solidFill>
                  <a:schemeClr val="bg1"/>
                </a:solidFill>
              </a:rPr>
              <a:t>The LLCR calculation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2529847" y="4949858"/>
            <a:ext cx="4903694" cy="1492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800" b="0">
                <a:solidFill>
                  <a:schemeClr val="bg1"/>
                </a:solidFill>
              </a:rPr>
              <a:t>- Calculating the discount factor</a:t>
            </a:r>
            <a:br>
              <a:rPr lang="en-AU" sz="1800" b="0">
                <a:solidFill>
                  <a:schemeClr val="bg1"/>
                </a:solidFill>
              </a:rPr>
            </a:br>
            <a:r>
              <a:rPr lang="en-AU" sz="1800" b="0">
                <a:solidFill>
                  <a:schemeClr val="bg1"/>
                </a:solidFill>
              </a:rPr>
              <a:t>- LLCR standard</a:t>
            </a:r>
          </a:p>
          <a:p>
            <a:r>
              <a:rPr lang="en-AU" sz="1800" b="0" baseline="0">
                <a:solidFill>
                  <a:schemeClr val="bg1"/>
                </a:solidFill>
              </a:rPr>
              <a:t>- Calculating the minimum and date of minimum</a:t>
            </a:r>
          </a:p>
          <a:p>
            <a:r>
              <a:rPr lang="en-AU" sz="1800" b="0" baseline="0">
                <a:solidFill>
                  <a:schemeClr val="bg1"/>
                </a:solidFill>
              </a:rPr>
              <a:t>- Plotting the LLCR</a:t>
            </a:r>
            <a:endParaRPr lang="en-AU" sz="1800" b="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204786</xdr:colOff>
      <xdr:row>0</xdr:row>
      <xdr:rowOff>39292</xdr:rowOff>
    </xdr:from>
    <xdr:to>
      <xdr:col>7</xdr:col>
      <xdr:colOff>56044</xdr:colOff>
      <xdr:row>5</xdr:row>
      <xdr:rowOff>14111</xdr:rowOff>
    </xdr:to>
    <xdr:pic>
      <xdr:nvPicPr>
        <xdr:cNvPr id="2" name="Picture 1" descr="Vector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8" t="33129" r="8171" b="40491"/>
        <a:stretch/>
      </xdr:blipFill>
      <xdr:spPr>
        <a:xfrm>
          <a:off x="600727" y="39292"/>
          <a:ext cx="3000097" cy="796584"/>
        </a:xfrm>
        <a:prstGeom prst="rect">
          <a:avLst/>
        </a:prstGeom>
      </xdr:spPr>
    </xdr:pic>
    <xdr:clientData/>
  </xdr:twoCellAnchor>
  <xdr:twoCellAnchor editAs="oneCell">
    <xdr:from>
      <xdr:col>22</xdr:col>
      <xdr:colOff>310433</xdr:colOff>
      <xdr:row>1</xdr:row>
      <xdr:rowOff>21300</xdr:rowOff>
    </xdr:from>
    <xdr:to>
      <xdr:col>25</xdr:col>
      <xdr:colOff>91146</xdr:colOff>
      <xdr:row>4</xdr:row>
      <xdr:rowOff>18653</xdr:rowOff>
    </xdr:to>
    <xdr:pic>
      <xdr:nvPicPr>
        <xdr:cNvPr id="8" name="Picture 7" descr="Alpha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DAE62B-BA11-4594-A011-F9F1C6FAB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6" t="35599" r="12944" b="35275"/>
        <a:stretch/>
      </xdr:blipFill>
      <xdr:spPr>
        <a:xfrm>
          <a:off x="12718333" y="186400"/>
          <a:ext cx="1541783" cy="492653"/>
        </a:xfrm>
        <a:prstGeom prst="rect">
          <a:avLst/>
        </a:prstGeom>
      </xdr:spPr>
    </xdr:pic>
    <xdr:clientData/>
  </xdr:twoCellAnchor>
  <xdr:twoCellAnchor>
    <xdr:from>
      <xdr:col>2</xdr:col>
      <xdr:colOff>178666</xdr:colOff>
      <xdr:row>4</xdr:row>
      <xdr:rowOff>115841</xdr:rowOff>
    </xdr:from>
    <xdr:to>
      <xdr:col>12</xdr:col>
      <xdr:colOff>520988</xdr:colOff>
      <xdr:row>8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0040EF-98B4-499F-9C92-84D145E6783F}"/>
            </a:ext>
          </a:extLst>
        </xdr:cNvPr>
        <xdr:cNvSpPr txBox="1"/>
      </xdr:nvSpPr>
      <xdr:spPr>
        <a:xfrm>
          <a:off x="572366" y="776241"/>
          <a:ext cx="6641522" cy="55726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AU" sz="2400" b="0">
              <a:solidFill>
                <a:schemeClr val="accent2"/>
              </a:solidFill>
              <a:latin typeface="+mj-lt"/>
              <a:cs typeface="Calibri" panose="020F0502020204030204" pitchFamily="34" charset="0"/>
            </a:rPr>
            <a:t>Calculating</a:t>
          </a:r>
          <a:r>
            <a:rPr lang="en-AU" sz="2400" b="0">
              <a:solidFill>
                <a:schemeClr val="accent2"/>
              </a:solidFill>
              <a:latin typeface="+mj-lt"/>
              <a:cs typeface="Calibri Light" panose="020F0302020204030204" pitchFamily="34" charset="0"/>
            </a:rPr>
            <a:t> an LLCR</a:t>
          </a:r>
        </a:p>
      </xdr:txBody>
    </xdr:sp>
    <xdr:clientData/>
  </xdr:twoCellAnchor>
  <xdr:twoCellAnchor>
    <xdr:from>
      <xdr:col>6</xdr:col>
      <xdr:colOff>93923</xdr:colOff>
      <xdr:row>16</xdr:row>
      <xdr:rowOff>103895</xdr:rowOff>
    </xdr:from>
    <xdr:to>
      <xdr:col>11</xdr:col>
      <xdr:colOff>500759</xdr:colOff>
      <xdr:row>21</xdr:row>
      <xdr:rowOff>163338</xdr:rowOff>
    </xdr:to>
    <xdr:grpSp>
      <xdr:nvGrpSpPr>
        <xdr:cNvPr id="54" name="Group 53">
          <a:extLst>
            <a:ext uri="{FF2B5EF4-FFF2-40B4-BE49-F238E27FC236}">
              <a16:creationId xmlns:a16="http://schemas.microsoft.com/office/drawing/2014/main" id="{3633970C-AA77-4143-BF2E-B3B31E9CD9C0}"/>
            </a:ext>
          </a:extLst>
        </xdr:cNvPr>
        <xdr:cNvGrpSpPr/>
      </xdr:nvGrpSpPr>
      <xdr:grpSpPr>
        <a:xfrm>
          <a:off x="3041911" y="2818520"/>
          <a:ext cx="2659498" cy="897643"/>
          <a:chOff x="497122" y="10086442"/>
          <a:chExt cx="2561976" cy="1179444"/>
        </a:xfrm>
      </xdr:grpSpPr>
      <xdr:grpSp>
        <xdr:nvGrpSpPr>
          <xdr:cNvPr id="55" name="Group 54">
            <a:extLst>
              <a:ext uri="{FF2B5EF4-FFF2-40B4-BE49-F238E27FC236}">
                <a16:creationId xmlns:a16="http://schemas.microsoft.com/office/drawing/2014/main" id="{5B9B291C-347B-41E9-89A2-91794D9DAA0C}"/>
              </a:ext>
            </a:extLst>
          </xdr:cNvPr>
          <xdr:cNvGrpSpPr/>
        </xdr:nvGrpSpPr>
        <xdr:grpSpPr>
          <a:xfrm>
            <a:off x="497122" y="10086442"/>
            <a:ext cx="2561976" cy="1179444"/>
            <a:chOff x="5572826" y="1336176"/>
            <a:chExt cx="2617040" cy="1089317"/>
          </a:xfrm>
        </xdr:grpSpPr>
        <xdr:grpSp>
          <xdr:nvGrpSpPr>
            <xdr:cNvPr id="57" name="Group 56">
              <a:extLst>
                <a:ext uri="{FF2B5EF4-FFF2-40B4-BE49-F238E27FC236}">
                  <a16:creationId xmlns:a16="http://schemas.microsoft.com/office/drawing/2014/main" id="{0D54D272-451E-4274-A030-D7E1A21B704F}"/>
                </a:ext>
              </a:extLst>
            </xdr:cNvPr>
            <xdr:cNvGrpSpPr/>
          </xdr:nvGrpSpPr>
          <xdr:grpSpPr>
            <a:xfrm>
              <a:off x="5572826" y="1336176"/>
              <a:ext cx="2617040" cy="1087623"/>
              <a:chOff x="3581497" y="3396291"/>
              <a:chExt cx="2577300" cy="1278582"/>
            </a:xfrm>
          </xdr:grpSpPr>
          <xdr:sp macro="" textlink="">
            <xdr:nvSpPr>
              <xdr:cNvPr id="59" name="Rectangle 58">
                <a:extLst>
                  <a:ext uri="{FF2B5EF4-FFF2-40B4-BE49-F238E27FC236}">
                    <a16:creationId xmlns:a16="http://schemas.microsoft.com/office/drawing/2014/main" id="{F3F7C426-F2B1-4BC7-BF8A-3C70536C9B12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60" name="Straight Connector 59">
                <a:extLst>
                  <a:ext uri="{FF2B5EF4-FFF2-40B4-BE49-F238E27FC236}">
                    <a16:creationId xmlns:a16="http://schemas.microsoft.com/office/drawing/2014/main" id="{A67C1A3F-22A1-4B50-9F02-53C08CD872AD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1" name="Isosceles Triangle 60">
                <a:extLst>
                  <a:ext uri="{FF2B5EF4-FFF2-40B4-BE49-F238E27FC236}">
                    <a16:creationId xmlns:a16="http://schemas.microsoft.com/office/drawing/2014/main" id="{3F2705C7-8FF2-4E2D-A456-5FB244EEB689}"/>
                  </a:ext>
                </a:extLst>
              </xdr:cNvPr>
              <xdr:cNvSpPr/>
            </xdr:nvSpPr>
            <xdr:spPr>
              <a:xfrm rot="16200000">
                <a:off x="3544101" y="3594028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58" name="Rectangle 57">
              <a:extLst>
                <a:ext uri="{FF2B5EF4-FFF2-40B4-BE49-F238E27FC236}">
                  <a16:creationId xmlns:a16="http://schemas.microsoft.com/office/drawing/2014/main" id="{D142E4E9-344C-4AD8-B03E-7FC666CFF36E}"/>
                </a:ext>
              </a:extLst>
            </xdr:cNvPr>
            <xdr:cNvSpPr/>
          </xdr:nvSpPr>
          <xdr:spPr>
            <a:xfrm>
              <a:off x="5797835" y="1352315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Inputs will drive your own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calculations but are presented here for completeness rather than have too many simple line item inputs.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31E3C1E5-09B6-4783-A58D-E2BA82A9EB97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03074" y="10247447"/>
            <a:ext cx="239908" cy="31039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251516</xdr:colOff>
      <xdr:row>53</xdr:row>
      <xdr:rowOff>125619</xdr:rowOff>
    </xdr:from>
    <xdr:to>
      <xdr:col>25</xdr:col>
      <xdr:colOff>41966</xdr:colOff>
      <xdr:row>85</xdr:row>
      <xdr:rowOff>132521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31E9AE-F927-40D1-8444-1F5DBA8B8B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1431925</xdr:colOff>
      <xdr:row>63</xdr:row>
      <xdr:rowOff>111125</xdr:rowOff>
    </xdr:from>
    <xdr:to>
      <xdr:col>7</xdr:col>
      <xdr:colOff>448735</xdr:colOff>
      <xdr:row>69</xdr:row>
      <xdr:rowOff>104775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CC682CA3-45C3-485B-B0F6-660B4B1A9EC1}"/>
            </a:ext>
          </a:extLst>
        </xdr:cNvPr>
        <xdr:cNvGrpSpPr/>
      </xdr:nvGrpSpPr>
      <xdr:grpSpPr>
        <a:xfrm flipH="1">
          <a:off x="1746250" y="10674350"/>
          <a:ext cx="2102910" cy="993775"/>
          <a:chOff x="515250" y="10086442"/>
          <a:chExt cx="2550684" cy="1179444"/>
        </a:xfrm>
      </xdr:grpSpPr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C97B2949-C759-4F36-BCF0-2DCA9B9BA774}"/>
              </a:ext>
            </a:extLst>
          </xdr:cNvPr>
          <xdr:cNvGrpSpPr/>
        </xdr:nvGrpSpPr>
        <xdr:grpSpPr>
          <a:xfrm>
            <a:off x="515250" y="10086442"/>
            <a:ext cx="2543849" cy="1179444"/>
            <a:chOff x="5591343" y="1336176"/>
            <a:chExt cx="2598523" cy="1089317"/>
          </a:xfrm>
        </xdr:grpSpPr>
        <xdr:grpSp>
          <xdr:nvGrpSpPr>
            <xdr:cNvPr id="34" name="Group 33">
              <a:extLst>
                <a:ext uri="{FF2B5EF4-FFF2-40B4-BE49-F238E27FC236}">
                  <a16:creationId xmlns:a16="http://schemas.microsoft.com/office/drawing/2014/main" id="{A20FA052-6BF1-4B80-86B6-ADDB16E0454C}"/>
                </a:ext>
              </a:extLst>
            </xdr:cNvPr>
            <xdr:cNvGrpSpPr/>
          </xdr:nvGrpSpPr>
          <xdr:grpSpPr>
            <a:xfrm>
              <a:off x="5591343" y="1336176"/>
              <a:ext cx="2598523" cy="1087623"/>
              <a:chOff x="3599733" y="3396291"/>
              <a:chExt cx="2559064" cy="1278582"/>
            </a:xfrm>
          </xdr:grpSpPr>
          <xdr:sp macro="" textlink="">
            <xdr:nvSpPr>
              <xdr:cNvPr id="36" name="Rectangle 35">
                <a:extLst>
                  <a:ext uri="{FF2B5EF4-FFF2-40B4-BE49-F238E27FC236}">
                    <a16:creationId xmlns:a16="http://schemas.microsoft.com/office/drawing/2014/main" id="{71C9169B-FF3E-43AC-94C1-6489D221DC77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37" name="Straight Connector 36">
                <a:extLst>
                  <a:ext uri="{FF2B5EF4-FFF2-40B4-BE49-F238E27FC236}">
                    <a16:creationId xmlns:a16="http://schemas.microsoft.com/office/drawing/2014/main" id="{B5A68BD3-7A38-4B8E-BC05-5A2D079979AA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8" name="Isosceles Triangle 37">
                <a:extLst>
                  <a:ext uri="{FF2B5EF4-FFF2-40B4-BE49-F238E27FC236}">
                    <a16:creationId xmlns:a16="http://schemas.microsoft.com/office/drawing/2014/main" id="{20102065-4013-4D76-BD16-6BB214D3EE09}"/>
                  </a:ext>
                </a:extLst>
              </xdr:cNvPr>
              <xdr:cNvSpPr/>
            </xdr:nvSpPr>
            <xdr:spPr>
              <a:xfrm rot="16200000">
                <a:off x="3562337" y="3469901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35" name="Rectangle 34">
              <a:extLst>
                <a:ext uri="{FF2B5EF4-FFF2-40B4-BE49-F238E27FC236}">
                  <a16:creationId xmlns:a16="http://schemas.microsoft.com/office/drawing/2014/main" id="{090F1381-C242-4A59-9D2D-70B419451641}"/>
                </a:ext>
              </a:extLst>
            </xdr:cNvPr>
            <xdr:cNvSpPr/>
          </xdr:nvSpPr>
          <xdr:spPr>
            <a:xfrm>
              <a:off x="5797835" y="1352315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Don't make plots too small, they are important windows into your analysis - be generous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but concise.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693BF98B-822A-45B9-8DB0-46D6B86B6F5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763436" y="10253284"/>
            <a:ext cx="302498" cy="281189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588962</xdr:colOff>
      <xdr:row>80</xdr:row>
      <xdr:rowOff>63498</xdr:rowOff>
    </xdr:from>
    <xdr:to>
      <xdr:col>16</xdr:col>
      <xdr:colOff>328612</xdr:colOff>
      <xdr:row>83</xdr:row>
      <xdr:rowOff>126998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85171A7-E61A-4DF1-B568-2D226D650950}"/>
            </a:ext>
          </a:extLst>
        </xdr:cNvPr>
        <xdr:cNvSpPr txBox="1"/>
      </xdr:nvSpPr>
      <xdr:spPr>
        <a:xfrm>
          <a:off x="7491412" y="18141948"/>
          <a:ext cx="1498600" cy="558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000">
              <a:solidFill>
                <a:schemeClr val="bg1">
                  <a:lumMod val="50000"/>
                </a:schemeClr>
              </a:solidFill>
              <a:latin typeface="+mn-lt"/>
            </a:rPr>
            <a:t>DSCR (Lock-up)</a:t>
          </a:r>
        </a:p>
        <a:p>
          <a:r>
            <a:rPr lang="en-AU" sz="1000">
              <a:solidFill>
                <a:schemeClr val="bg1">
                  <a:lumMod val="50000"/>
                </a:schemeClr>
              </a:solidFill>
              <a:latin typeface="+mn-lt"/>
            </a:rPr>
            <a:t>DSCR (Default)</a:t>
          </a:r>
        </a:p>
      </xdr:txBody>
    </xdr:sp>
    <xdr:clientData/>
  </xdr:twoCellAnchor>
  <xdr:twoCellAnchor>
    <xdr:from>
      <xdr:col>13</xdr:col>
      <xdr:colOff>279671</xdr:colOff>
      <xdr:row>81</xdr:row>
      <xdr:rowOff>16213</xdr:rowOff>
    </xdr:from>
    <xdr:to>
      <xdr:col>13</xdr:col>
      <xdr:colOff>581633</xdr:colOff>
      <xdr:row>81</xdr:row>
      <xdr:rowOff>18239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64292646-99FA-4035-85E3-BE52F5CDC654}"/>
            </a:ext>
          </a:extLst>
        </xdr:cNvPr>
        <xdr:cNvCxnSpPr/>
      </xdr:nvCxnSpPr>
      <xdr:spPr>
        <a:xfrm flipV="1">
          <a:off x="7638240" y="14364511"/>
          <a:ext cx="301962" cy="2026"/>
        </a:xfrm>
        <a:prstGeom prst="line">
          <a:avLst/>
        </a:prstGeom>
        <a:ln w="19050">
          <a:solidFill>
            <a:srgbClr val="C00000">
              <a:alpha val="46000"/>
            </a:srgb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289803</xdr:colOff>
      <xdr:row>82</xdr:row>
      <xdr:rowOff>18239</xdr:rowOff>
    </xdr:from>
    <xdr:to>
      <xdr:col>13</xdr:col>
      <xdr:colOff>581633</xdr:colOff>
      <xdr:row>82</xdr:row>
      <xdr:rowOff>18240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94E33FF8-51BB-4714-ABAC-688A874A399E}"/>
            </a:ext>
          </a:extLst>
        </xdr:cNvPr>
        <xdr:cNvCxnSpPr/>
      </xdr:nvCxnSpPr>
      <xdr:spPr>
        <a:xfrm flipV="1">
          <a:off x="7648372" y="14532718"/>
          <a:ext cx="291830" cy="1"/>
        </a:xfrm>
        <a:prstGeom prst="line">
          <a:avLst/>
        </a:prstGeom>
        <a:ln w="19050">
          <a:solidFill>
            <a:srgbClr val="C00000">
              <a:alpha val="81000"/>
            </a:srgb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392777</xdr:colOff>
      <xdr:row>80</xdr:row>
      <xdr:rowOff>27886</xdr:rowOff>
    </xdr:from>
    <xdr:to>
      <xdr:col>16</xdr:col>
      <xdr:colOff>152692</xdr:colOff>
      <xdr:row>84</xdr:row>
      <xdr:rowOff>157656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BD07D348-A6CE-4735-8CF5-CBF42135E8B1}"/>
            </a:ext>
          </a:extLst>
        </xdr:cNvPr>
        <xdr:cNvSpPr/>
      </xdr:nvSpPr>
      <xdr:spPr>
        <a:xfrm>
          <a:off x="5388476" y="14298964"/>
          <a:ext cx="3970622" cy="799804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19</xdr:col>
      <xdr:colOff>385141</xdr:colOff>
      <xdr:row>47</xdr:row>
      <xdr:rowOff>82827</xdr:rowOff>
    </xdr:from>
    <xdr:to>
      <xdr:col>23</xdr:col>
      <xdr:colOff>132114</xdr:colOff>
      <xdr:row>53</xdr:row>
      <xdr:rowOff>35476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BB714CE2-E2AD-4E49-A95F-A257DB5E037B}"/>
            </a:ext>
          </a:extLst>
        </xdr:cNvPr>
        <xdr:cNvGrpSpPr/>
      </xdr:nvGrpSpPr>
      <xdr:grpSpPr>
        <a:xfrm flipH="1">
          <a:off x="10538791" y="7993340"/>
          <a:ext cx="2223473" cy="938486"/>
          <a:chOff x="511358" y="10086443"/>
          <a:chExt cx="2547739" cy="1179443"/>
        </a:xfrm>
      </xdr:grpSpPr>
      <xdr:grpSp>
        <xdr:nvGrpSpPr>
          <xdr:cNvPr id="41" name="Group 40">
            <a:extLst>
              <a:ext uri="{FF2B5EF4-FFF2-40B4-BE49-F238E27FC236}">
                <a16:creationId xmlns:a16="http://schemas.microsoft.com/office/drawing/2014/main" id="{1D74756B-B835-43A9-8629-1A9F822C7FFE}"/>
              </a:ext>
            </a:extLst>
          </xdr:cNvPr>
          <xdr:cNvGrpSpPr/>
        </xdr:nvGrpSpPr>
        <xdr:grpSpPr>
          <a:xfrm>
            <a:off x="511358" y="10086443"/>
            <a:ext cx="2547739" cy="1179443"/>
            <a:chOff x="5587368" y="1336177"/>
            <a:chExt cx="2602497" cy="1089316"/>
          </a:xfrm>
        </xdr:grpSpPr>
        <xdr:grpSp>
          <xdr:nvGrpSpPr>
            <xdr:cNvPr id="52" name="Group 51">
              <a:extLst>
                <a:ext uri="{FF2B5EF4-FFF2-40B4-BE49-F238E27FC236}">
                  <a16:creationId xmlns:a16="http://schemas.microsoft.com/office/drawing/2014/main" id="{9B3488EA-9BB6-4D23-80FE-CC3EA6AFCFB1}"/>
                </a:ext>
              </a:extLst>
            </xdr:cNvPr>
            <xdr:cNvGrpSpPr/>
          </xdr:nvGrpSpPr>
          <xdr:grpSpPr>
            <a:xfrm>
              <a:off x="5587368" y="1336177"/>
              <a:ext cx="2602497" cy="1087620"/>
              <a:chOff x="3595818" y="3396291"/>
              <a:chExt cx="2562978" cy="1278578"/>
            </a:xfrm>
          </xdr:grpSpPr>
          <xdr:sp macro="" textlink="">
            <xdr:nvSpPr>
              <xdr:cNvPr id="62" name="Rectangle 61">
                <a:extLst>
                  <a:ext uri="{FF2B5EF4-FFF2-40B4-BE49-F238E27FC236}">
                    <a16:creationId xmlns:a16="http://schemas.microsoft.com/office/drawing/2014/main" id="{244F6DD1-761A-4557-AD9C-7A9D6B1F4BDC}"/>
                  </a:ext>
                </a:extLst>
              </xdr:cNvPr>
              <xdr:cNvSpPr/>
            </xdr:nvSpPr>
            <xdr:spPr>
              <a:xfrm>
                <a:off x="3772669" y="3399448"/>
                <a:ext cx="2386127" cy="1275421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63" name="Straight Connector 62">
                <a:extLst>
                  <a:ext uri="{FF2B5EF4-FFF2-40B4-BE49-F238E27FC236}">
                    <a16:creationId xmlns:a16="http://schemas.microsoft.com/office/drawing/2014/main" id="{45C7E253-AA43-423F-A905-3E07EDEB0078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4" name="Isosceles Triangle 63">
                <a:extLst>
                  <a:ext uri="{FF2B5EF4-FFF2-40B4-BE49-F238E27FC236}">
                    <a16:creationId xmlns:a16="http://schemas.microsoft.com/office/drawing/2014/main" id="{23EF9964-7B0E-4E0B-B3F5-9C922E832801}"/>
                  </a:ext>
                </a:extLst>
              </xdr:cNvPr>
              <xdr:cNvSpPr/>
            </xdr:nvSpPr>
            <xdr:spPr>
              <a:xfrm rot="16200000">
                <a:off x="3558422" y="4019814"/>
                <a:ext cx="188004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53" name="Rectangle 52">
              <a:extLst>
                <a:ext uri="{FF2B5EF4-FFF2-40B4-BE49-F238E27FC236}">
                  <a16:creationId xmlns:a16="http://schemas.microsoft.com/office/drawing/2014/main" id="{CC0F8790-E4C9-4BC9-8D17-20363548EB17}"/>
                </a:ext>
              </a:extLst>
            </xdr:cNvPr>
            <xdr:cNvSpPr/>
          </xdr:nvSpPr>
          <xdr:spPr>
            <a:xfrm>
              <a:off x="5797835" y="1352315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Generally</a:t>
              </a:r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the only time we allow a #N/A is for plots. This means the data points are not shown.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51" name="Picture 50">
            <a:extLst>
              <a:ext uri="{FF2B5EF4-FFF2-40B4-BE49-F238E27FC236}">
                <a16:creationId xmlns:a16="http://schemas.microsoft.com/office/drawing/2014/main" id="{3FEE3AC2-ABAC-4EFC-AD6B-933A05E7BD2D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2737979" y="10260357"/>
            <a:ext cx="317947" cy="301658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285751</xdr:colOff>
      <xdr:row>35</xdr:row>
      <xdr:rowOff>84044</xdr:rowOff>
    </xdr:from>
    <xdr:to>
      <xdr:col>9</xdr:col>
      <xdr:colOff>459438</xdr:colOff>
      <xdr:row>40</xdr:row>
      <xdr:rowOff>150490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E7B47C2-F5FA-46DB-825A-841FE2919812}"/>
            </a:ext>
          </a:extLst>
        </xdr:cNvPr>
        <xdr:cNvGrpSpPr/>
      </xdr:nvGrpSpPr>
      <xdr:grpSpPr>
        <a:xfrm>
          <a:off x="2228851" y="6008594"/>
          <a:ext cx="2302525" cy="899884"/>
          <a:chOff x="497122" y="10086442"/>
          <a:chExt cx="2561976" cy="1179444"/>
        </a:xfrm>
      </xdr:grpSpPr>
      <xdr:grpSp>
        <xdr:nvGrpSpPr>
          <xdr:cNvPr id="66" name="Group 65">
            <a:extLst>
              <a:ext uri="{FF2B5EF4-FFF2-40B4-BE49-F238E27FC236}">
                <a16:creationId xmlns:a16="http://schemas.microsoft.com/office/drawing/2014/main" id="{587EFFF0-2654-4D9C-A495-95065D8909E9}"/>
              </a:ext>
            </a:extLst>
          </xdr:cNvPr>
          <xdr:cNvGrpSpPr/>
        </xdr:nvGrpSpPr>
        <xdr:grpSpPr>
          <a:xfrm>
            <a:off x="497122" y="10086442"/>
            <a:ext cx="2561976" cy="1179444"/>
            <a:chOff x="5572826" y="1336176"/>
            <a:chExt cx="2617040" cy="1089317"/>
          </a:xfrm>
        </xdr:grpSpPr>
        <xdr:grpSp>
          <xdr:nvGrpSpPr>
            <xdr:cNvPr id="68" name="Group 67">
              <a:extLst>
                <a:ext uri="{FF2B5EF4-FFF2-40B4-BE49-F238E27FC236}">
                  <a16:creationId xmlns:a16="http://schemas.microsoft.com/office/drawing/2014/main" id="{9BD56EF1-DEFC-4E90-A001-3B81055DECA1}"/>
                </a:ext>
              </a:extLst>
            </xdr:cNvPr>
            <xdr:cNvGrpSpPr/>
          </xdr:nvGrpSpPr>
          <xdr:grpSpPr>
            <a:xfrm>
              <a:off x="5572826" y="1336176"/>
              <a:ext cx="2617040" cy="1087623"/>
              <a:chOff x="3581497" y="3396291"/>
              <a:chExt cx="2577300" cy="1278582"/>
            </a:xfrm>
          </xdr:grpSpPr>
          <xdr:sp macro="" textlink="">
            <xdr:nvSpPr>
              <xdr:cNvPr id="70" name="Rectangle 69">
                <a:extLst>
                  <a:ext uri="{FF2B5EF4-FFF2-40B4-BE49-F238E27FC236}">
                    <a16:creationId xmlns:a16="http://schemas.microsoft.com/office/drawing/2014/main" id="{73F17A93-C6E2-4AA0-980E-127B3509595A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71" name="Straight Connector 70">
                <a:extLst>
                  <a:ext uri="{FF2B5EF4-FFF2-40B4-BE49-F238E27FC236}">
                    <a16:creationId xmlns:a16="http://schemas.microsoft.com/office/drawing/2014/main" id="{57D231BE-1884-404F-AD45-B87DB315EC3F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2" name="Isosceles Triangle 71">
                <a:extLst>
                  <a:ext uri="{FF2B5EF4-FFF2-40B4-BE49-F238E27FC236}">
                    <a16:creationId xmlns:a16="http://schemas.microsoft.com/office/drawing/2014/main" id="{FB9D689B-3E19-4F16-88A9-6F21EA1ACE0B}"/>
                  </a:ext>
                </a:extLst>
              </xdr:cNvPr>
              <xdr:cNvSpPr/>
            </xdr:nvSpPr>
            <xdr:spPr>
              <a:xfrm rot="16200000">
                <a:off x="3544101" y="3594028"/>
                <a:ext cx="188003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69" name="Rectangle 68">
              <a:extLst>
                <a:ext uri="{FF2B5EF4-FFF2-40B4-BE49-F238E27FC236}">
                  <a16:creationId xmlns:a16="http://schemas.microsoft.com/office/drawing/2014/main" id="{5194E155-9CC4-4A1E-B89E-3639EEA8C8D9}"/>
                </a:ext>
              </a:extLst>
            </xdr:cNvPr>
            <xdr:cNvSpPr/>
          </xdr:nvSpPr>
          <xdr:spPr>
            <a:xfrm>
              <a:off x="5797835" y="1352315"/>
              <a:ext cx="2057400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Break down the discounting of CFADS. Transparancy means less errors and more chance of finding them.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67" name="Picture 66">
            <a:extLst>
              <a:ext uri="{FF2B5EF4-FFF2-40B4-BE49-F238E27FC236}">
                <a16:creationId xmlns:a16="http://schemas.microsoft.com/office/drawing/2014/main" id="{19B60E46-C819-4B97-BA49-05BACAFE25F6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84724" y="10260356"/>
            <a:ext cx="272164" cy="30813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ector TEST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00A0E3"/>
      </a:accent1>
      <a:accent2>
        <a:srgbClr val="052F5B"/>
      </a:accent2>
      <a:accent3>
        <a:srgbClr val="939598"/>
      </a:accent3>
      <a:accent4>
        <a:srgbClr val="D1D2D3"/>
      </a:accent4>
      <a:accent5>
        <a:srgbClr val="F47920"/>
      </a:accent5>
      <a:accent6>
        <a:srgbClr val="96BB20"/>
      </a:accent6>
      <a:hlink>
        <a:srgbClr val="0070C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60"/>
  <sheetViews>
    <sheetView showRowColHeaders="0" tabSelected="1" topLeftCell="B1" zoomScale="75" zoomScaleNormal="75" workbookViewId="0"/>
  </sheetViews>
  <sheetFormatPr defaultColWidth="0" defaultRowHeight="13.15" zeroHeight="1" x14ac:dyDescent="0.4"/>
  <cols>
    <col min="1" max="30" width="7.7109375" customWidth="1"/>
    <col min="31" max="36" width="7.7109375" hidden="1" customWidth="1"/>
    <col min="37" max="16384" width="8.78515625" hidden="1"/>
  </cols>
  <sheetData>
    <row r="1" spans="4:34" x14ac:dyDescent="0.4"/>
    <row r="2" spans="4:34" x14ac:dyDescent="0.4"/>
    <row r="3" spans="4:34" x14ac:dyDescent="0.4"/>
    <row r="4" spans="4:34" x14ac:dyDescent="0.4"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4:34" x14ac:dyDescent="0.4"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4:34" x14ac:dyDescent="0.4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4:34" x14ac:dyDescent="0.4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4:34" x14ac:dyDescent="0.4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AG8" s="1"/>
      <c r="AH8" s="1"/>
    </row>
    <row r="9" spans="4:34" x14ac:dyDescent="0.4">
      <c r="D9" s="1"/>
      <c r="E9" s="1"/>
      <c r="F9" s="1"/>
      <c r="G9" s="1"/>
      <c r="H9" s="1"/>
      <c r="I9" s="1"/>
      <c r="J9" s="1"/>
      <c r="K9" s="1"/>
      <c r="L9" s="1"/>
      <c r="M9" s="1">
        <f>M8</f>
        <v>0</v>
      </c>
      <c r="N9" s="1"/>
      <c r="O9" s="1"/>
      <c r="P9" s="1"/>
      <c r="Q9" s="1"/>
      <c r="R9" s="1"/>
      <c r="S9" s="1"/>
      <c r="AG9" s="1"/>
      <c r="AH9" s="1"/>
    </row>
    <row r="10" spans="4:34" x14ac:dyDescent="0.4"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AG10" s="1"/>
      <c r="AH10" s="1"/>
    </row>
    <row r="11" spans="4:34" x14ac:dyDescent="0.4"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AG11" s="1"/>
      <c r="AH11" s="1"/>
    </row>
    <row r="12" spans="4:34" x14ac:dyDescent="0.4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AG12" s="1"/>
      <c r="AH12" s="1"/>
    </row>
    <row r="13" spans="4:34" x14ac:dyDescent="0.4">
      <c r="D13" s="1"/>
      <c r="E13" s="1"/>
      <c r="F13" s="1"/>
      <c r="G13" s="1"/>
      <c r="H13" s="1"/>
      <c r="I13" s="3"/>
      <c r="J13" s="1"/>
      <c r="K13" s="1"/>
      <c r="L13" s="1"/>
      <c r="M13" s="1"/>
      <c r="N13" s="1"/>
      <c r="O13" s="1"/>
      <c r="P13" s="1"/>
      <c r="Q13" s="1"/>
      <c r="R13" s="1"/>
      <c r="S13" s="1"/>
      <c r="AG13" s="1"/>
      <c r="AH13" s="1"/>
    </row>
    <row r="14" spans="4:34" x14ac:dyDescent="0.4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AG14" s="1"/>
      <c r="AH14" s="1"/>
    </row>
    <row r="15" spans="4:34" x14ac:dyDescent="0.4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AG15" s="1"/>
      <c r="AH15" s="1"/>
    </row>
    <row r="16" spans="4:34" x14ac:dyDescent="0.4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AG16" s="1"/>
      <c r="AH16" s="1"/>
    </row>
    <row r="17" spans="4:34" x14ac:dyDescent="0.4"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AG17" s="1"/>
      <c r="AH17" s="1"/>
    </row>
    <row r="18" spans="4:34" x14ac:dyDescent="0.4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AG18" s="1"/>
      <c r="AH18" s="1"/>
    </row>
    <row r="19" spans="4:34" x14ac:dyDescent="0.4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AG19" s="1"/>
      <c r="AH19" s="1"/>
    </row>
    <row r="20" spans="4:34" x14ac:dyDescent="0.4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AG20" s="1"/>
      <c r="AH20" s="1"/>
    </row>
    <row r="21" spans="4:34" x14ac:dyDescent="0.4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AG21" s="1"/>
      <c r="AH21" s="1"/>
    </row>
    <row r="22" spans="4:34" x14ac:dyDescent="0.4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AG22" s="1"/>
      <c r="AH22" s="1"/>
    </row>
    <row r="23" spans="4:34" x14ac:dyDescent="0.4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AG23" s="1"/>
      <c r="AH23" s="1"/>
    </row>
    <row r="24" spans="4:34" x14ac:dyDescent="0.4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AG24" s="1"/>
      <c r="AH24" s="1"/>
    </row>
    <row r="25" spans="4:34" x14ac:dyDescent="0.4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AG25" s="1"/>
      <c r="AH25" s="1"/>
    </row>
    <row r="26" spans="4:34" x14ac:dyDescent="0.4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AG26" s="1"/>
      <c r="AH26" s="1"/>
    </row>
    <row r="27" spans="4:34" x14ac:dyDescent="0.4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AG27" s="1"/>
      <c r="AH27" s="1"/>
    </row>
    <row r="28" spans="4:34" x14ac:dyDescent="0.4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AG28" s="1"/>
      <c r="AH28" s="1"/>
    </row>
    <row r="29" spans="4:34" x14ac:dyDescent="0.4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AG29" s="1"/>
      <c r="AH29" s="1"/>
    </row>
    <row r="30" spans="4:34" x14ac:dyDescent="0.4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AG30" s="1"/>
      <c r="AH30" s="1"/>
    </row>
    <row r="31" spans="4:34" x14ac:dyDescent="0.4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4:34" x14ac:dyDescent="0.4"/>
    <row r="33" x14ac:dyDescent="0.4"/>
    <row r="34" x14ac:dyDescent="0.4"/>
    <row r="35" x14ac:dyDescent="0.4"/>
    <row r="36" x14ac:dyDescent="0.4"/>
    <row r="37" x14ac:dyDescent="0.4"/>
    <row r="38" x14ac:dyDescent="0.4"/>
    <row r="39" x14ac:dyDescent="0.4"/>
    <row r="40" x14ac:dyDescent="0.4"/>
    <row r="41" x14ac:dyDescent="0.4"/>
    <row r="42" x14ac:dyDescent="0.4"/>
    <row r="43" x14ac:dyDescent="0.4"/>
    <row r="44" x14ac:dyDescent="0.4"/>
    <row r="45" x14ac:dyDescent="0.4"/>
    <row r="46" x14ac:dyDescent="0.4"/>
    <row r="47" x14ac:dyDescent="0.4"/>
    <row r="48" x14ac:dyDescent="0.4"/>
    <row r="49" x14ac:dyDescent="0.4"/>
    <row r="50" x14ac:dyDescent="0.4"/>
    <row r="51" x14ac:dyDescent="0.4"/>
    <row r="52" x14ac:dyDescent="0.4"/>
    <row r="53" x14ac:dyDescent="0.4"/>
    <row r="54" x14ac:dyDescent="0.4"/>
    <row r="55" x14ac:dyDescent="0.4"/>
    <row r="56" x14ac:dyDescent="0.4"/>
    <row r="57" x14ac:dyDescent="0.4"/>
    <row r="58" x14ac:dyDescent="0.4"/>
    <row r="59" hidden="1" x14ac:dyDescent="0.4"/>
    <row r="60" hidden="1" x14ac:dyDescent="0.4"/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749992370372631"/>
    <pageSetUpPr fitToPage="1"/>
  </sheetPr>
  <dimension ref="A1:XFD216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3.15" zeroHeight="1" x14ac:dyDescent="0.4"/>
  <cols>
    <col min="1" max="2" width="1.5703125" customWidth="1"/>
    <col min="3" max="3" width="1.5703125" style="1" customWidth="1"/>
    <col min="4" max="4" width="24.42578125" customWidth="1"/>
    <col min="5" max="5" width="5.5703125" bestFit="1" customWidth="1"/>
    <col min="6" max="6" width="9.5" bestFit="1" customWidth="1"/>
    <col min="7" max="7" width="6.78515625" bestFit="1" customWidth="1"/>
    <col min="8" max="8" width="8.5" bestFit="1" customWidth="1"/>
    <col min="9" max="9" width="1.5703125" style="1" customWidth="1"/>
    <col min="10" max="10" width="7.78515625" style="1" bestFit="1" customWidth="1"/>
    <col min="11" max="11" width="9.140625" style="1" bestFit="1" customWidth="1"/>
    <col min="12" max="12" width="9.2109375" bestFit="1" customWidth="1"/>
    <col min="13" max="13" width="9.42578125" bestFit="1" customWidth="1"/>
    <col min="14" max="14" width="9.5" bestFit="1" customWidth="1"/>
    <col min="15" max="15" width="9" bestFit="1" customWidth="1"/>
    <col min="16" max="16" width="9.2109375" bestFit="1" customWidth="1"/>
    <col min="17" max="17" width="9.42578125" bestFit="1" customWidth="1"/>
    <col min="18" max="18" width="9.5" bestFit="1" customWidth="1"/>
    <col min="19" max="19" width="9" bestFit="1" customWidth="1"/>
    <col min="20" max="20" width="9.2109375" bestFit="1" customWidth="1"/>
    <col min="21" max="21" width="9.42578125" bestFit="1" customWidth="1"/>
    <col min="22" max="22" width="9.5" bestFit="1" customWidth="1"/>
    <col min="23" max="23" width="9" bestFit="1" customWidth="1"/>
    <col min="24" max="24" width="9.2109375" bestFit="1" customWidth="1"/>
    <col min="25" max="25" width="9.42578125" bestFit="1" customWidth="1"/>
    <col min="26" max="26" width="5.35546875" customWidth="1"/>
    <col min="27" max="16384" width="8.78515625" hidden="1"/>
  </cols>
  <sheetData>
    <row r="1" spans="3:16384" s="1" customFormat="1" x14ac:dyDescent="0.4"/>
    <row r="2" spans="3:16384" x14ac:dyDescent="0.4">
      <c r="C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3:16384" s="1" customFormat="1" x14ac:dyDescent="0.4"/>
    <row r="4" spans="3:16384" s="1" customFormat="1" x14ac:dyDescent="0.4"/>
    <row r="5" spans="3:16384" s="1" customFormat="1" x14ac:dyDescent="0.4"/>
    <row r="6" spans="3:16384" s="1" customFormat="1" x14ac:dyDescent="0.4"/>
    <row r="7" spans="3:16384" s="1" customFormat="1" x14ac:dyDescent="0.4"/>
    <row r="8" spans="3:16384" s="1" customFormat="1" x14ac:dyDescent="0.4"/>
    <row r="9" spans="3:16384" s="1" customFormat="1" x14ac:dyDescent="0.4"/>
    <row r="10" spans="3:16384" s="1" customFormat="1" ht="15.75" x14ac:dyDescent="0.5">
      <c r="D10" s="6" t="s">
        <v>23</v>
      </c>
    </row>
    <row r="11" spans="3:16384" s="1" customFormat="1" x14ac:dyDescent="0.4">
      <c r="D11" t="s">
        <v>9</v>
      </c>
      <c r="E11"/>
      <c r="F11" s="9">
        <v>4</v>
      </c>
    </row>
    <row r="12" spans="3:16384" s="1" customFormat="1" x14ac:dyDescent="0.4">
      <c r="D12" s="1" t="s">
        <v>19</v>
      </c>
      <c r="F12" s="9">
        <v>3</v>
      </c>
    </row>
    <row r="13" spans="3:16384" s="1" customFormat="1" x14ac:dyDescent="0.4"/>
    <row r="14" spans="3:16384" ht="13.5" customHeight="1" x14ac:dyDescent="0.4">
      <c r="C14"/>
      <c r="D14" s="1" t="s">
        <v>20</v>
      </c>
      <c r="H14" s="1"/>
      <c r="K14" s="8">
        <v>1</v>
      </c>
      <c r="L14" s="8">
        <f>K14+1</f>
        <v>2</v>
      </c>
      <c r="M14" s="8">
        <f t="shared" ref="M14:T14" si="0">L14+1</f>
        <v>3</v>
      </c>
      <c r="N14" s="8">
        <f t="shared" si="0"/>
        <v>4</v>
      </c>
      <c r="O14" s="8">
        <f t="shared" si="0"/>
        <v>5</v>
      </c>
      <c r="P14" s="8">
        <f t="shared" si="0"/>
        <v>6</v>
      </c>
      <c r="Q14" s="8">
        <f t="shared" si="0"/>
        <v>7</v>
      </c>
      <c r="R14" s="8">
        <f t="shared" si="0"/>
        <v>8</v>
      </c>
      <c r="S14" s="8">
        <f t="shared" si="0"/>
        <v>9</v>
      </c>
      <c r="T14" s="8">
        <f t="shared" si="0"/>
        <v>10</v>
      </c>
      <c r="U14" s="8">
        <f t="shared" ref="U14" si="1">T14+1</f>
        <v>11</v>
      </c>
      <c r="V14" s="8">
        <f t="shared" ref="V14" si="2">U14+1</f>
        <v>12</v>
      </c>
      <c r="W14" s="8">
        <f t="shared" ref="W14" si="3">V14+1</f>
        <v>13</v>
      </c>
      <c r="X14" s="8">
        <f t="shared" ref="X14" si="4">W14+1</f>
        <v>14</v>
      </c>
      <c r="Y14" s="8">
        <f t="shared" ref="Y14" si="5">X14+1</f>
        <v>15</v>
      </c>
      <c r="AA14" s="1"/>
    </row>
    <row r="15" spans="3:16384" s="1" customFormat="1" ht="13.5" customHeight="1" x14ac:dyDescent="0.4">
      <c r="D15" s="1" t="s">
        <v>10</v>
      </c>
      <c r="F15" s="5" t="s">
        <v>25</v>
      </c>
      <c r="K15" s="5">
        <v>42916</v>
      </c>
      <c r="L15" s="5">
        <f>EOMONTH(K15,3)</f>
        <v>43008</v>
      </c>
      <c r="M15" s="5">
        <f t="shared" ref="M15:T15" si="6">EOMONTH(L15,3)</f>
        <v>43100</v>
      </c>
      <c r="N15" s="5">
        <f t="shared" si="6"/>
        <v>43190</v>
      </c>
      <c r="O15" s="5">
        <f t="shared" si="6"/>
        <v>43281</v>
      </c>
      <c r="P15" s="5">
        <f t="shared" si="6"/>
        <v>43373</v>
      </c>
      <c r="Q15" s="5">
        <f t="shared" si="6"/>
        <v>43465</v>
      </c>
      <c r="R15" s="5">
        <f t="shared" si="6"/>
        <v>43555</v>
      </c>
      <c r="S15" s="5">
        <f t="shared" si="6"/>
        <v>43646</v>
      </c>
      <c r="T15" s="5">
        <f t="shared" si="6"/>
        <v>43738</v>
      </c>
      <c r="U15" s="5">
        <f t="shared" ref="U15:Y15" si="7">EOMONTH(T15,3)</f>
        <v>43830</v>
      </c>
      <c r="V15" s="5">
        <f t="shared" si="7"/>
        <v>43921</v>
      </c>
      <c r="W15" s="5">
        <f t="shared" si="7"/>
        <v>44012</v>
      </c>
      <c r="X15" s="5">
        <f t="shared" si="7"/>
        <v>44104</v>
      </c>
      <c r="Y15" s="5">
        <f t="shared" si="7"/>
        <v>44196</v>
      </c>
    </row>
    <row r="16" spans="3:16384" ht="13.5" customHeight="1" x14ac:dyDescent="0.4">
      <c r="C16"/>
      <c r="D16" t="s">
        <v>1</v>
      </c>
      <c r="E16" t="s">
        <v>0</v>
      </c>
      <c r="F16" s="27">
        <v>0.02</v>
      </c>
      <c r="G16" s="1"/>
      <c r="H16" s="1"/>
      <c r="K16" s="10">
        <v>15</v>
      </c>
      <c r="L16" s="14">
        <f>K16*(1+$F$16)</f>
        <v>15.3</v>
      </c>
      <c r="M16" s="14">
        <f t="shared" ref="M16:Y16" si="8">L16*(1+$F$16)</f>
        <v>15.606000000000002</v>
      </c>
      <c r="N16" s="14">
        <f t="shared" si="8"/>
        <v>15.918120000000002</v>
      </c>
      <c r="O16" s="14">
        <f t="shared" si="8"/>
        <v>16.236482400000003</v>
      </c>
      <c r="P16" s="14">
        <f t="shared" si="8"/>
        <v>16.561212048000005</v>
      </c>
      <c r="Q16" s="14">
        <f t="shared" si="8"/>
        <v>16.892436288960006</v>
      </c>
      <c r="R16" s="14">
        <f t="shared" si="8"/>
        <v>17.230285014739206</v>
      </c>
      <c r="S16" s="14">
        <f t="shared" si="8"/>
        <v>17.574890715033991</v>
      </c>
      <c r="T16" s="14">
        <f t="shared" si="8"/>
        <v>17.92638852933467</v>
      </c>
      <c r="U16" s="14">
        <f t="shared" si="8"/>
        <v>18.284916299921363</v>
      </c>
      <c r="V16" s="14">
        <f t="shared" si="8"/>
        <v>18.65061462591979</v>
      </c>
      <c r="W16" s="14">
        <f t="shared" si="8"/>
        <v>19.023626918438186</v>
      </c>
      <c r="X16" s="14">
        <f t="shared" si="8"/>
        <v>19.40409945680695</v>
      </c>
      <c r="Y16" s="14">
        <f t="shared" si="8"/>
        <v>19.79218144594309</v>
      </c>
      <c r="AA16" s="1"/>
    </row>
    <row r="17" spans="3:25" s="1" customFormat="1" ht="13.5" customHeight="1" x14ac:dyDescent="0.4"/>
    <row r="18" spans="3:25" x14ac:dyDescent="0.4">
      <c r="C18"/>
      <c r="D18" s="1" t="s">
        <v>7</v>
      </c>
      <c r="E18" t="s">
        <v>16</v>
      </c>
      <c r="F18" s="4">
        <v>12</v>
      </c>
      <c r="H18" s="1"/>
      <c r="K18"/>
      <c r="M18" s="1"/>
      <c r="T18" s="1"/>
      <c r="U18" s="1"/>
      <c r="V18" s="1"/>
      <c r="W18" s="1"/>
      <c r="X18" s="1"/>
      <c r="Y18" s="1"/>
    </row>
    <row r="19" spans="3:25" s="1" customFormat="1" x14ac:dyDescent="0.4">
      <c r="D19" s="12" t="s">
        <v>5</v>
      </c>
      <c r="E19" s="1" t="s">
        <v>8</v>
      </c>
      <c r="F19" s="13">
        <v>0.05</v>
      </c>
    </row>
    <row r="20" spans="3:25" s="1" customFormat="1" x14ac:dyDescent="0.4"/>
    <row r="21" spans="3:25" s="1" customFormat="1" x14ac:dyDescent="0.4">
      <c r="D21" s="12" t="s">
        <v>17</v>
      </c>
      <c r="E21" s="1" t="s">
        <v>11</v>
      </c>
      <c r="F21" s="21">
        <v>1.4</v>
      </c>
    </row>
    <row r="22" spans="3:25" s="1" customFormat="1" x14ac:dyDescent="0.4">
      <c r="D22" s="12" t="s">
        <v>18</v>
      </c>
      <c r="E22" s="12" t="s">
        <v>11</v>
      </c>
      <c r="F22" s="21">
        <v>1.2</v>
      </c>
    </row>
    <row r="23" spans="3:25" s="1" customFormat="1" x14ac:dyDescent="0.4"/>
    <row r="24" spans="3:25" s="1" customFormat="1" x14ac:dyDescent="0.4">
      <c r="D24" s="15" t="s">
        <v>2</v>
      </c>
    </row>
    <row r="25" spans="3:25" x14ac:dyDescent="0.4">
      <c r="D25" s="11" t="s">
        <v>3</v>
      </c>
      <c r="E25" s="1" t="s">
        <v>0</v>
      </c>
      <c r="F25" s="1"/>
      <c r="G25" s="1"/>
      <c r="K25" s="30">
        <v>100</v>
      </c>
      <c r="L25" s="29">
        <f>K27</f>
        <v>91.666666666666671</v>
      </c>
      <c r="M25" s="29">
        <f t="shared" ref="M25:Y25" si="9">L27</f>
        <v>83.333333333333343</v>
      </c>
      <c r="N25" s="29">
        <f t="shared" si="9"/>
        <v>75.000000000000014</v>
      </c>
      <c r="O25" s="29">
        <f t="shared" si="9"/>
        <v>66.666666666666686</v>
      </c>
      <c r="P25" s="29">
        <f t="shared" si="9"/>
        <v>58.33333333333335</v>
      </c>
      <c r="Q25" s="29">
        <f t="shared" si="9"/>
        <v>50.000000000000014</v>
      </c>
      <c r="R25" s="29">
        <f t="shared" si="9"/>
        <v>41.666666666666679</v>
      </c>
      <c r="S25" s="29">
        <f t="shared" si="9"/>
        <v>33.333333333333343</v>
      </c>
      <c r="T25" s="29">
        <f t="shared" si="9"/>
        <v>25.000000000000007</v>
      </c>
      <c r="U25" s="29">
        <f t="shared" si="9"/>
        <v>16.666666666666671</v>
      </c>
      <c r="V25" s="29">
        <f t="shared" si="9"/>
        <v>8.3333333333333375</v>
      </c>
      <c r="W25" s="29">
        <f t="shared" si="9"/>
        <v>0</v>
      </c>
      <c r="X25" s="29">
        <f t="shared" si="9"/>
        <v>0</v>
      </c>
      <c r="Y25" s="29">
        <f t="shared" si="9"/>
        <v>0</v>
      </c>
    </row>
    <row r="26" spans="3:25" x14ac:dyDescent="0.4">
      <c r="D26" t="s">
        <v>33</v>
      </c>
      <c r="E26" s="1" t="s">
        <v>0</v>
      </c>
      <c r="F26" s="28"/>
      <c r="J26" s="14">
        <f>SUM(K26:Y26)</f>
        <v>-99.999999999999986</v>
      </c>
      <c r="K26" s="29">
        <f>-MIN($K$25/12,K25)</f>
        <v>-8.3333333333333339</v>
      </c>
      <c r="L26" s="29">
        <f t="shared" ref="L26:Y26" si="10">-MIN($K$25/12,L25)</f>
        <v>-8.3333333333333339</v>
      </c>
      <c r="M26" s="29">
        <f t="shared" si="10"/>
        <v>-8.3333333333333339</v>
      </c>
      <c r="N26" s="29">
        <f t="shared" si="10"/>
        <v>-8.3333333333333339</v>
      </c>
      <c r="O26" s="29">
        <f t="shared" si="10"/>
        <v>-8.3333333333333339</v>
      </c>
      <c r="P26" s="29">
        <f t="shared" si="10"/>
        <v>-8.3333333333333339</v>
      </c>
      <c r="Q26" s="29">
        <f t="shared" si="10"/>
        <v>-8.3333333333333339</v>
      </c>
      <c r="R26" s="29">
        <f t="shared" si="10"/>
        <v>-8.3333333333333339</v>
      </c>
      <c r="S26" s="29">
        <f t="shared" si="10"/>
        <v>-8.3333333333333339</v>
      </c>
      <c r="T26" s="29">
        <f t="shared" si="10"/>
        <v>-8.3333333333333339</v>
      </c>
      <c r="U26" s="29">
        <f t="shared" si="10"/>
        <v>-8.3333333333333339</v>
      </c>
      <c r="V26" s="29">
        <f t="shared" si="10"/>
        <v>-8.3333333333333339</v>
      </c>
      <c r="W26" s="29">
        <f t="shared" si="10"/>
        <v>0</v>
      </c>
      <c r="X26" s="29">
        <f t="shared" si="10"/>
        <v>0</v>
      </c>
      <c r="Y26" s="29">
        <f t="shared" si="10"/>
        <v>0</v>
      </c>
    </row>
    <row r="27" spans="3:25" ht="13.5" thickBot="1" x14ac:dyDescent="0.45">
      <c r="D27" t="s">
        <v>4</v>
      </c>
      <c r="E27" s="1" t="s">
        <v>0</v>
      </c>
      <c r="K27" s="31">
        <f>SUM(K25:K26)</f>
        <v>91.666666666666671</v>
      </c>
      <c r="L27" s="31">
        <f t="shared" ref="L27:Y27" si="11">SUM(L25:L26)</f>
        <v>83.333333333333343</v>
      </c>
      <c r="M27" s="31">
        <f t="shared" si="11"/>
        <v>75.000000000000014</v>
      </c>
      <c r="N27" s="31">
        <f t="shared" si="11"/>
        <v>66.666666666666686</v>
      </c>
      <c r="O27" s="31">
        <f t="shared" si="11"/>
        <v>58.33333333333335</v>
      </c>
      <c r="P27" s="31">
        <f t="shared" si="11"/>
        <v>50.000000000000014</v>
      </c>
      <c r="Q27" s="31">
        <f t="shared" si="11"/>
        <v>41.666666666666679</v>
      </c>
      <c r="R27" s="31">
        <f t="shared" si="11"/>
        <v>33.333333333333343</v>
      </c>
      <c r="S27" s="31">
        <f t="shared" si="11"/>
        <v>25.000000000000007</v>
      </c>
      <c r="T27" s="31">
        <f t="shared" si="11"/>
        <v>16.666666666666671</v>
      </c>
      <c r="U27" s="31">
        <f t="shared" si="11"/>
        <v>8.3333333333333375</v>
      </c>
      <c r="V27" s="31">
        <f t="shared" si="11"/>
        <v>0</v>
      </c>
      <c r="W27" s="31">
        <f t="shared" si="11"/>
        <v>0</v>
      </c>
      <c r="X27" s="31">
        <f t="shared" si="11"/>
        <v>0</v>
      </c>
      <c r="Y27" s="31">
        <f t="shared" si="11"/>
        <v>0</v>
      </c>
    </row>
    <row r="28" spans="3:25" x14ac:dyDescent="0.4">
      <c r="D28" t="s">
        <v>6</v>
      </c>
      <c r="E28" s="1" t="s">
        <v>0</v>
      </c>
      <c r="F28" s="16">
        <f>$F$19/Constant.QuartersInYear</f>
        <v>1.2500000000000001E-2</v>
      </c>
      <c r="J28" s="14">
        <f>SUM(K28:Y28)</f>
        <v>8.125</v>
      </c>
      <c r="K28" s="29">
        <f>K25*$F$28</f>
        <v>1.25</v>
      </c>
      <c r="L28" s="29">
        <f t="shared" ref="L28:Y28" si="12">L25*$F$28</f>
        <v>1.1458333333333335</v>
      </c>
      <c r="M28" s="29">
        <f t="shared" si="12"/>
        <v>1.0416666666666667</v>
      </c>
      <c r="N28" s="29">
        <f t="shared" si="12"/>
        <v>0.93750000000000022</v>
      </c>
      <c r="O28" s="29">
        <f t="shared" si="12"/>
        <v>0.83333333333333359</v>
      </c>
      <c r="P28" s="29">
        <f t="shared" si="12"/>
        <v>0.72916666666666696</v>
      </c>
      <c r="Q28" s="29">
        <f t="shared" si="12"/>
        <v>0.62500000000000022</v>
      </c>
      <c r="R28" s="29">
        <f t="shared" si="12"/>
        <v>0.52083333333333348</v>
      </c>
      <c r="S28" s="29">
        <f t="shared" si="12"/>
        <v>0.4166666666666668</v>
      </c>
      <c r="T28" s="29">
        <f t="shared" si="12"/>
        <v>0.31250000000000011</v>
      </c>
      <c r="U28" s="29">
        <f t="shared" si="12"/>
        <v>0.2083333333333334</v>
      </c>
      <c r="V28" s="29">
        <f t="shared" si="12"/>
        <v>0.10416666666666673</v>
      </c>
      <c r="W28" s="29">
        <f t="shared" si="12"/>
        <v>0</v>
      </c>
      <c r="X28" s="29">
        <f t="shared" si="12"/>
        <v>0</v>
      </c>
      <c r="Y28" s="29">
        <f t="shared" si="12"/>
        <v>0</v>
      </c>
    </row>
    <row r="29" spans="3:25" s="1" customFormat="1" x14ac:dyDescent="0.4"/>
    <row r="30" spans="3:25" s="1" customFormat="1" x14ac:dyDescent="0.4"/>
    <row r="31" spans="3:25" s="1" customFormat="1" ht="15.75" x14ac:dyDescent="0.5">
      <c r="D31" s="6" t="s">
        <v>34</v>
      </c>
    </row>
    <row r="32" spans="3:25" x14ac:dyDescent="0.4">
      <c r="D32" s="1" t="s">
        <v>20</v>
      </c>
      <c r="K32" s="8">
        <f>K14</f>
        <v>1</v>
      </c>
      <c r="L32" s="8">
        <f>L14</f>
        <v>2</v>
      </c>
      <c r="M32" s="8">
        <f>M14</f>
        <v>3</v>
      </c>
      <c r="N32" s="8">
        <f>N14</f>
        <v>4</v>
      </c>
      <c r="O32" s="8">
        <f>O14</f>
        <v>5</v>
      </c>
      <c r="P32" s="8">
        <f>P14</f>
        <v>6</v>
      </c>
      <c r="Q32" s="8">
        <f>Q14</f>
        <v>7</v>
      </c>
      <c r="R32" s="8">
        <f>R14</f>
        <v>8</v>
      </c>
      <c r="S32" s="8">
        <f>S14</f>
        <v>9</v>
      </c>
      <c r="T32" s="8">
        <f>T14</f>
        <v>10</v>
      </c>
      <c r="U32" s="8">
        <f>U14</f>
        <v>11</v>
      </c>
      <c r="V32" s="8">
        <f>V14</f>
        <v>12</v>
      </c>
      <c r="W32" s="8">
        <f>W14</f>
        <v>13</v>
      </c>
      <c r="X32" s="8">
        <f>X14</f>
        <v>14</v>
      </c>
      <c r="Y32" s="8">
        <f>Y14</f>
        <v>15</v>
      </c>
    </row>
    <row r="33" spans="4:26" s="1" customFormat="1" x14ac:dyDescent="0.4">
      <c r="D33" s="1" t="s">
        <v>10</v>
      </c>
      <c r="K33" s="5">
        <f>K15</f>
        <v>42916</v>
      </c>
      <c r="L33" s="5">
        <f>L15</f>
        <v>43008</v>
      </c>
      <c r="M33" s="5">
        <f>M15</f>
        <v>43100</v>
      </c>
      <c r="N33" s="5">
        <f>N15</f>
        <v>43190</v>
      </c>
      <c r="O33" s="5">
        <f>O15</f>
        <v>43281</v>
      </c>
      <c r="P33" s="5">
        <f>P15</f>
        <v>43373</v>
      </c>
      <c r="Q33" s="5">
        <f>Q15</f>
        <v>43465</v>
      </c>
      <c r="R33" s="5">
        <f>R15</f>
        <v>43555</v>
      </c>
      <c r="S33" s="5">
        <f>S15</f>
        <v>43646</v>
      </c>
      <c r="T33" s="5">
        <f>T15</f>
        <v>43738</v>
      </c>
      <c r="U33" s="5">
        <f>U15</f>
        <v>43830</v>
      </c>
      <c r="V33" s="5">
        <f>V15</f>
        <v>43921</v>
      </c>
      <c r="W33" s="5">
        <f>W15</f>
        <v>44012</v>
      </c>
      <c r="X33" s="5">
        <f>X15</f>
        <v>44104</v>
      </c>
      <c r="Y33" s="5">
        <f>Y15</f>
        <v>44196</v>
      </c>
    </row>
    <row r="34" spans="4:26" s="1" customFormat="1" x14ac:dyDescent="0.4">
      <c r="D34" s="1" t="s">
        <v>12</v>
      </c>
      <c r="E34" s="1" t="s">
        <v>13</v>
      </c>
      <c r="K34" s="20">
        <f t="shared" ref="K34:Y34" si="13">IF(K25&gt;0,1,0)</f>
        <v>1</v>
      </c>
      <c r="L34" s="20">
        <f t="shared" si="13"/>
        <v>1</v>
      </c>
      <c r="M34" s="20">
        <f t="shared" si="13"/>
        <v>1</v>
      </c>
      <c r="N34" s="20">
        <f t="shared" si="13"/>
        <v>1</v>
      </c>
      <c r="O34" s="20">
        <f t="shared" si="13"/>
        <v>1</v>
      </c>
      <c r="P34" s="20">
        <f t="shared" si="13"/>
        <v>1</v>
      </c>
      <c r="Q34" s="20">
        <f t="shared" si="13"/>
        <v>1</v>
      </c>
      <c r="R34" s="20">
        <f t="shared" si="13"/>
        <v>1</v>
      </c>
      <c r="S34" s="20">
        <f t="shared" si="13"/>
        <v>1</v>
      </c>
      <c r="T34" s="20">
        <f t="shared" si="13"/>
        <v>1</v>
      </c>
      <c r="U34" s="20">
        <f t="shared" si="13"/>
        <v>1</v>
      </c>
      <c r="V34" s="20">
        <f t="shared" si="13"/>
        <v>1</v>
      </c>
      <c r="W34" s="20">
        <f t="shared" si="13"/>
        <v>0</v>
      </c>
      <c r="X34" s="20">
        <f t="shared" si="13"/>
        <v>0</v>
      </c>
      <c r="Y34" s="20">
        <f t="shared" si="13"/>
        <v>0</v>
      </c>
    </row>
    <row r="35" spans="4:26" s="1" customFormat="1" x14ac:dyDescent="0.4"/>
    <row r="36" spans="4:26" s="1" customFormat="1" x14ac:dyDescent="0.4">
      <c r="D36" s="1" t="s">
        <v>24</v>
      </c>
      <c r="E36" s="1" t="s">
        <v>25</v>
      </c>
      <c r="K36" s="24">
        <f>IFERROR( K28/K25,0)</f>
        <v>1.2500000000000001E-2</v>
      </c>
      <c r="L36" s="24">
        <f t="shared" ref="L36:Y36" si="14">IFERROR( L28/L25,0)</f>
        <v>1.2500000000000001E-2</v>
      </c>
      <c r="M36" s="24">
        <f t="shared" si="14"/>
        <v>1.2499999999999999E-2</v>
      </c>
      <c r="N36" s="24">
        <f t="shared" si="14"/>
        <v>1.2500000000000001E-2</v>
      </c>
      <c r="O36" s="24">
        <f t="shared" si="14"/>
        <v>1.2500000000000001E-2</v>
      </c>
      <c r="P36" s="24">
        <f t="shared" si="14"/>
        <v>1.2500000000000001E-2</v>
      </c>
      <c r="Q36" s="24">
        <f t="shared" si="14"/>
        <v>1.2500000000000001E-2</v>
      </c>
      <c r="R36" s="24">
        <f t="shared" si="14"/>
        <v>1.2500000000000001E-2</v>
      </c>
      <c r="S36" s="24">
        <f t="shared" si="14"/>
        <v>1.2500000000000001E-2</v>
      </c>
      <c r="T36" s="24">
        <f t="shared" si="14"/>
        <v>1.2500000000000001E-2</v>
      </c>
      <c r="U36" s="24">
        <f t="shared" si="14"/>
        <v>1.2500000000000001E-2</v>
      </c>
      <c r="V36" s="24">
        <f t="shared" si="14"/>
        <v>1.2500000000000001E-2</v>
      </c>
      <c r="W36" s="24">
        <f t="shared" si="14"/>
        <v>0</v>
      </c>
      <c r="X36" s="24">
        <f t="shared" si="14"/>
        <v>0</v>
      </c>
      <c r="Y36" s="24">
        <f t="shared" si="14"/>
        <v>0</v>
      </c>
    </row>
    <row r="37" spans="4:26" s="1" customFormat="1" x14ac:dyDescent="0.4">
      <c r="D37" s="1" t="s">
        <v>24</v>
      </c>
      <c r="E37" s="11" t="s">
        <v>31</v>
      </c>
      <c r="K37" s="25">
        <f>(1+K36) * K34</f>
        <v>1.0125</v>
      </c>
      <c r="L37" s="25">
        <f t="shared" ref="L37:Y37" si="15">(1+L36) * L34</f>
        <v>1.0125</v>
      </c>
      <c r="M37" s="25">
        <f t="shared" si="15"/>
        <v>1.0125</v>
      </c>
      <c r="N37" s="25">
        <f t="shared" si="15"/>
        <v>1.0125</v>
      </c>
      <c r="O37" s="25">
        <f t="shared" si="15"/>
        <v>1.0125</v>
      </c>
      <c r="P37" s="25">
        <f t="shared" si="15"/>
        <v>1.0125</v>
      </c>
      <c r="Q37" s="25">
        <f t="shared" si="15"/>
        <v>1.0125</v>
      </c>
      <c r="R37" s="25">
        <f t="shared" si="15"/>
        <v>1.0125</v>
      </c>
      <c r="S37" s="25">
        <f t="shared" si="15"/>
        <v>1.0125</v>
      </c>
      <c r="T37" s="25">
        <f t="shared" si="15"/>
        <v>1.0125</v>
      </c>
      <c r="U37" s="25">
        <f t="shared" si="15"/>
        <v>1.0125</v>
      </c>
      <c r="V37" s="25">
        <f t="shared" si="15"/>
        <v>1.0125</v>
      </c>
      <c r="W37" s="25">
        <f t="shared" si="15"/>
        <v>0</v>
      </c>
      <c r="X37" s="25">
        <f t="shared" si="15"/>
        <v>0</v>
      </c>
      <c r="Y37" s="25">
        <f t="shared" si="15"/>
        <v>0</v>
      </c>
    </row>
    <row r="38" spans="4:26" x14ac:dyDescent="0.4">
      <c r="D38" t="s">
        <v>1</v>
      </c>
      <c r="E38" s="1" t="s">
        <v>0</v>
      </c>
      <c r="K38" s="29">
        <f>K16*K34</f>
        <v>15</v>
      </c>
      <c r="L38" s="29">
        <f>L16*L34</f>
        <v>15.3</v>
      </c>
      <c r="M38" s="29">
        <f>M16*M34</f>
        <v>15.606000000000002</v>
      </c>
      <c r="N38" s="29">
        <f>N16*N34</f>
        <v>15.918120000000002</v>
      </c>
      <c r="O38" s="29">
        <f>O16*O34</f>
        <v>16.236482400000003</v>
      </c>
      <c r="P38" s="29">
        <f>P16*P34</f>
        <v>16.561212048000005</v>
      </c>
      <c r="Q38" s="29">
        <f>Q16*Q34</f>
        <v>16.892436288960006</v>
      </c>
      <c r="R38" s="29">
        <f>R16*R34</f>
        <v>17.230285014739206</v>
      </c>
      <c r="S38" s="29">
        <f>S16*S34</f>
        <v>17.574890715033991</v>
      </c>
      <c r="T38" s="29">
        <f>T16*T34</f>
        <v>17.92638852933467</v>
      </c>
      <c r="U38" s="29">
        <f>U16*U34</f>
        <v>18.284916299921363</v>
      </c>
      <c r="V38" s="29">
        <f>V16*V34</f>
        <v>18.65061462591979</v>
      </c>
      <c r="W38" s="29">
        <f>W16*W34</f>
        <v>0</v>
      </c>
      <c r="X38" s="29">
        <f>X16*X34</f>
        <v>0</v>
      </c>
      <c r="Y38" s="29">
        <f>Y16*Y34</f>
        <v>0</v>
      </c>
    </row>
    <row r="39" spans="4:26" s="1" customFormat="1" x14ac:dyDescent="0.4">
      <c r="D39" s="1" t="s">
        <v>26</v>
      </c>
      <c r="E39" s="1" t="s">
        <v>0</v>
      </c>
      <c r="K39" s="29">
        <f t="shared" ref="K39:X39" si="16">IFERROR( (L39+K38) / K37, 0)</f>
        <v>185.20242686696531</v>
      </c>
      <c r="L39" s="29">
        <f t="shared" si="16"/>
        <v>172.51745720280238</v>
      </c>
      <c r="M39" s="29">
        <f t="shared" si="16"/>
        <v>159.3739254178374</v>
      </c>
      <c r="N39" s="29">
        <f t="shared" si="16"/>
        <v>145.76009948556037</v>
      </c>
      <c r="O39" s="29">
        <f t="shared" si="16"/>
        <v>131.66398072912989</v>
      </c>
      <c r="P39" s="29">
        <f t="shared" si="16"/>
        <v>117.073298088244</v>
      </c>
      <c r="Q39" s="29">
        <f t="shared" si="16"/>
        <v>101.97550226634705</v>
      </c>
      <c r="R39" s="29">
        <f t="shared" si="16"/>
        <v>86.357759755716373</v>
      </c>
      <c r="S39" s="29">
        <f t="shared" si="16"/>
        <v>70.206946737923616</v>
      </c>
      <c r="T39" s="29">
        <f t="shared" si="16"/>
        <v>53.509642857113676</v>
      </c>
      <c r="U39" s="29">
        <f t="shared" si="16"/>
        <v>36.252124863492931</v>
      </c>
      <c r="V39" s="29">
        <f t="shared" si="16"/>
        <v>18.420360124365224</v>
      </c>
      <c r="W39" s="29">
        <f t="shared" si="16"/>
        <v>0</v>
      </c>
      <c r="X39" s="29">
        <f t="shared" si="16"/>
        <v>0</v>
      </c>
      <c r="Y39" s="29">
        <f>IFERROR( (Z39+Y38) / Y37, 0)</f>
        <v>0</v>
      </c>
      <c r="Z39" s="32"/>
    </row>
    <row r="40" spans="4:26" s="1" customFormat="1" x14ac:dyDescent="0.4"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</row>
    <row r="41" spans="4:26" x14ac:dyDescent="0.4">
      <c r="D41" t="s">
        <v>3</v>
      </c>
      <c r="E41" s="1" t="s">
        <v>0</v>
      </c>
      <c r="K41" s="29">
        <f t="shared" ref="K41:Y41" si="17">K25</f>
        <v>100</v>
      </c>
      <c r="L41" s="29">
        <f t="shared" si="17"/>
        <v>91.666666666666671</v>
      </c>
      <c r="M41" s="29">
        <f t="shared" si="17"/>
        <v>83.333333333333343</v>
      </c>
      <c r="N41" s="29">
        <f t="shared" si="17"/>
        <v>75.000000000000014</v>
      </c>
      <c r="O41" s="29">
        <f t="shared" si="17"/>
        <v>66.666666666666686</v>
      </c>
      <c r="P41" s="29">
        <f t="shared" si="17"/>
        <v>58.33333333333335</v>
      </c>
      <c r="Q41" s="29">
        <f t="shared" si="17"/>
        <v>50.000000000000014</v>
      </c>
      <c r="R41" s="29">
        <f t="shared" si="17"/>
        <v>41.666666666666679</v>
      </c>
      <c r="S41" s="29">
        <f t="shared" si="17"/>
        <v>33.333333333333343</v>
      </c>
      <c r="T41" s="29">
        <f t="shared" si="17"/>
        <v>25.000000000000007</v>
      </c>
      <c r="U41" s="29">
        <f t="shared" si="17"/>
        <v>16.666666666666671</v>
      </c>
      <c r="V41" s="29">
        <f t="shared" si="17"/>
        <v>8.3333333333333375</v>
      </c>
      <c r="W41" s="29">
        <f t="shared" si="17"/>
        <v>0</v>
      </c>
      <c r="X41" s="29">
        <f t="shared" si="17"/>
        <v>0</v>
      </c>
      <c r="Y41" s="29">
        <f t="shared" si="17"/>
        <v>0</v>
      </c>
    </row>
    <row r="42" spans="4:26" x14ac:dyDescent="0.4"/>
    <row r="43" spans="4:26" s="1" customFormat="1" x14ac:dyDescent="0.4">
      <c r="D43" s="15" t="s">
        <v>27</v>
      </c>
      <c r="K43" s="5">
        <f>K$33</f>
        <v>42916</v>
      </c>
      <c r="L43" s="5">
        <f t="shared" ref="L43:Y43" si="18">L$33</f>
        <v>43008</v>
      </c>
      <c r="M43" s="5">
        <f t="shared" si="18"/>
        <v>43100</v>
      </c>
      <c r="N43" s="5">
        <f t="shared" si="18"/>
        <v>43190</v>
      </c>
      <c r="O43" s="5">
        <f t="shared" si="18"/>
        <v>43281</v>
      </c>
      <c r="P43" s="5">
        <f t="shared" si="18"/>
        <v>43373</v>
      </c>
      <c r="Q43" s="5">
        <f t="shared" si="18"/>
        <v>43465</v>
      </c>
      <c r="R43" s="5">
        <f t="shared" si="18"/>
        <v>43555</v>
      </c>
      <c r="S43" s="5">
        <f t="shared" si="18"/>
        <v>43646</v>
      </c>
      <c r="T43" s="5">
        <f t="shared" si="18"/>
        <v>43738</v>
      </c>
      <c r="U43" s="5">
        <f t="shared" si="18"/>
        <v>43830</v>
      </c>
      <c r="V43" s="5">
        <f t="shared" si="18"/>
        <v>43921</v>
      </c>
      <c r="W43" s="5">
        <f t="shared" si="18"/>
        <v>44012</v>
      </c>
      <c r="X43" s="5">
        <f t="shared" si="18"/>
        <v>44104</v>
      </c>
      <c r="Y43" s="5">
        <f t="shared" si="18"/>
        <v>44196</v>
      </c>
    </row>
    <row r="44" spans="4:26" x14ac:dyDescent="0.4">
      <c r="D44" t="s">
        <v>32</v>
      </c>
      <c r="E44" s="1" t="s">
        <v>0</v>
      </c>
      <c r="F44" s="33" t="s">
        <v>35</v>
      </c>
      <c r="G44" s="33"/>
      <c r="H44" s="33"/>
      <c r="K44" s="1">
        <f>K39</f>
        <v>185.20242686696531</v>
      </c>
      <c r="L44" s="1">
        <f t="shared" ref="L44:Y44" si="19">L39</f>
        <v>172.51745720280238</v>
      </c>
      <c r="M44" s="1">
        <f t="shared" si="19"/>
        <v>159.3739254178374</v>
      </c>
      <c r="N44" s="1">
        <f t="shared" si="19"/>
        <v>145.76009948556037</v>
      </c>
      <c r="O44" s="1">
        <f t="shared" si="19"/>
        <v>131.66398072912989</v>
      </c>
      <c r="P44" s="1">
        <f t="shared" si="19"/>
        <v>117.073298088244</v>
      </c>
      <c r="Q44" s="1">
        <f t="shared" si="19"/>
        <v>101.97550226634705</v>
      </c>
      <c r="R44" s="1">
        <f t="shared" si="19"/>
        <v>86.357759755716373</v>
      </c>
      <c r="S44" s="1">
        <f t="shared" si="19"/>
        <v>70.206946737923616</v>
      </c>
      <c r="T44" s="1">
        <f t="shared" si="19"/>
        <v>53.509642857113676</v>
      </c>
      <c r="U44" s="1">
        <f t="shared" si="19"/>
        <v>36.252124863492931</v>
      </c>
      <c r="V44" s="1">
        <f t="shared" si="19"/>
        <v>18.420360124365224</v>
      </c>
      <c r="W44" s="1">
        <f t="shared" si="19"/>
        <v>0</v>
      </c>
      <c r="X44" s="1">
        <f t="shared" si="19"/>
        <v>0</v>
      </c>
      <c r="Y44" s="1">
        <f t="shared" si="19"/>
        <v>0</v>
      </c>
    </row>
    <row r="45" spans="4:26" x14ac:dyDescent="0.4">
      <c r="D45" t="s">
        <v>28</v>
      </c>
      <c r="E45" s="1" t="s">
        <v>0</v>
      </c>
      <c r="F45" s="7" t="s">
        <v>30</v>
      </c>
      <c r="G45" s="7" t="s">
        <v>14</v>
      </c>
      <c r="H45" s="7" t="s">
        <v>15</v>
      </c>
      <c r="K45" s="1">
        <f t="shared" ref="K45:Y45" si="20">K41</f>
        <v>100</v>
      </c>
      <c r="L45" s="1">
        <f t="shared" si="20"/>
        <v>91.666666666666671</v>
      </c>
      <c r="M45" s="1">
        <f t="shared" si="20"/>
        <v>83.333333333333343</v>
      </c>
      <c r="N45" s="1">
        <f t="shared" si="20"/>
        <v>75.000000000000014</v>
      </c>
      <c r="O45" s="1">
        <f t="shared" si="20"/>
        <v>66.666666666666686</v>
      </c>
      <c r="P45" s="1">
        <f t="shared" si="20"/>
        <v>58.33333333333335</v>
      </c>
      <c r="Q45" s="1">
        <f t="shared" si="20"/>
        <v>50.000000000000014</v>
      </c>
      <c r="R45" s="1">
        <f t="shared" si="20"/>
        <v>41.666666666666679</v>
      </c>
      <c r="S45" s="1">
        <f t="shared" si="20"/>
        <v>33.333333333333343</v>
      </c>
      <c r="T45" s="1">
        <f t="shared" si="20"/>
        <v>25.000000000000007</v>
      </c>
      <c r="U45" s="1">
        <f t="shared" si="20"/>
        <v>16.666666666666671</v>
      </c>
      <c r="V45" s="1">
        <f t="shared" si="20"/>
        <v>8.3333333333333375</v>
      </c>
      <c r="W45" s="1">
        <f t="shared" si="20"/>
        <v>0</v>
      </c>
      <c r="X45" s="1">
        <f t="shared" si="20"/>
        <v>0</v>
      </c>
      <c r="Y45" s="1">
        <f t="shared" si="20"/>
        <v>0</v>
      </c>
    </row>
    <row r="46" spans="4:26" x14ac:dyDescent="0.4">
      <c r="D46" t="s">
        <v>27</v>
      </c>
      <c r="E46" t="s">
        <v>11</v>
      </c>
      <c r="F46" s="18">
        <f>K46</f>
        <v>1.8520242686696531</v>
      </c>
      <c r="G46" s="18">
        <f>_xlfn.MINIFS( K46:Y46,
                  K46:Y46,"&gt;0"
                )</f>
        <v>1.8520242686696531</v>
      </c>
      <c r="H46" s="19">
        <f>INDEX( $K$15:$Y$15,
                MATCH(G46,$K46:$Y46,0)
              )</f>
        <v>42916</v>
      </c>
      <c r="K46" s="17">
        <f>IFERROR(K44/K45,0)</f>
        <v>1.8520242686696531</v>
      </c>
      <c r="L46" s="17">
        <f t="shared" ref="L46:Y46" si="21">IFERROR(L44/L45,0) * L$34</f>
        <v>1.8820086240305713</v>
      </c>
      <c r="M46" s="17">
        <f t="shared" si="21"/>
        <v>1.9124871050140486</v>
      </c>
      <c r="N46" s="17">
        <f t="shared" si="21"/>
        <v>1.9434679931408045</v>
      </c>
      <c r="O46" s="17">
        <f t="shared" si="21"/>
        <v>1.9749597109369479</v>
      </c>
      <c r="P46" s="17">
        <f t="shared" si="21"/>
        <v>2.0069708243698967</v>
      </c>
      <c r="Q46" s="17">
        <f t="shared" si="21"/>
        <v>2.0395100453269404</v>
      </c>
      <c r="R46" s="17">
        <f t="shared" si="21"/>
        <v>2.0725862341371926</v>
      </c>
      <c r="S46" s="17">
        <f t="shared" si="21"/>
        <v>2.1062084021377077</v>
      </c>
      <c r="T46" s="17">
        <f t="shared" si="21"/>
        <v>2.1403857142845464</v>
      </c>
      <c r="U46" s="17">
        <f t="shared" si="21"/>
        <v>2.1751274918095751</v>
      </c>
      <c r="V46" s="17">
        <f t="shared" si="21"/>
        <v>2.210443214923826</v>
      </c>
      <c r="W46" s="17">
        <f t="shared" si="21"/>
        <v>0</v>
      </c>
      <c r="X46" s="17">
        <f t="shared" si="21"/>
        <v>0</v>
      </c>
      <c r="Y46" s="17">
        <f t="shared" si="21"/>
        <v>0</v>
      </c>
    </row>
    <row r="47" spans="4:26" s="1" customFormat="1" ht="12" customHeight="1" x14ac:dyDescent="0.4"/>
    <row r="48" spans="4:26" s="1" customFormat="1" ht="12" customHeight="1" x14ac:dyDescent="0.4"/>
    <row r="49" spans="4:25" s="1" customFormat="1" x14ac:dyDescent="0.4">
      <c r="D49" s="15" t="s">
        <v>29</v>
      </c>
      <c r="G49" s="7" t="s">
        <v>17</v>
      </c>
      <c r="H49" s="7" t="s">
        <v>18</v>
      </c>
    </row>
    <row r="50" spans="4:25" s="1" customFormat="1" x14ac:dyDescent="0.4">
      <c r="D50" s="1" t="s">
        <v>21</v>
      </c>
      <c r="G50" s="18">
        <f>F21</f>
        <v>1.4</v>
      </c>
      <c r="H50" s="18">
        <f>F22</f>
        <v>1.2</v>
      </c>
      <c r="K50" s="5">
        <f>K$33</f>
        <v>42916</v>
      </c>
      <c r="L50" s="5">
        <f t="shared" ref="L50:Y50" si="22">L33</f>
        <v>43008</v>
      </c>
      <c r="M50" s="5">
        <f t="shared" si="22"/>
        <v>43100</v>
      </c>
      <c r="N50" s="5">
        <f t="shared" si="22"/>
        <v>43190</v>
      </c>
      <c r="O50" s="5">
        <f t="shared" si="22"/>
        <v>43281</v>
      </c>
      <c r="P50" s="5">
        <f t="shared" si="22"/>
        <v>43373</v>
      </c>
      <c r="Q50" s="5">
        <f t="shared" si="22"/>
        <v>43465</v>
      </c>
      <c r="R50" s="5">
        <f t="shared" si="22"/>
        <v>43555</v>
      </c>
      <c r="S50" s="5">
        <f t="shared" si="22"/>
        <v>43646</v>
      </c>
      <c r="T50" s="5">
        <f t="shared" si="22"/>
        <v>43738</v>
      </c>
      <c r="U50" s="5">
        <f t="shared" si="22"/>
        <v>43830</v>
      </c>
      <c r="V50" s="5">
        <f t="shared" si="22"/>
        <v>43921</v>
      </c>
      <c r="W50" s="5">
        <f t="shared" si="22"/>
        <v>44012</v>
      </c>
      <c r="X50" s="5">
        <f t="shared" si="22"/>
        <v>44104</v>
      </c>
      <c r="Y50" s="5">
        <f t="shared" si="22"/>
        <v>44196</v>
      </c>
    </row>
    <row r="51" spans="4:25" x14ac:dyDescent="0.4">
      <c r="D51" t="str">
        <f>D43</f>
        <v>LLCR</v>
      </c>
      <c r="G51" s="22">
        <f>COUNTIFS($K51:$Y51,"&lt;"&amp;G50,
                      $K51:$Y51, "&lt;&gt;0")</f>
        <v>0</v>
      </c>
      <c r="H51" s="22">
        <f>COUNTIFS($K51:$Y51,"&lt;"&amp;H50,
                      $K51:$Y51, "&lt;&gt;0")</f>
        <v>0</v>
      </c>
      <c r="K51" s="26">
        <f>K46</f>
        <v>1.8520242686696531</v>
      </c>
      <c r="L51" s="26">
        <f>IF( OR(L46=0,L$25=0),NA(), L46)</f>
        <v>1.8820086240305713</v>
      </c>
      <c r="M51" s="26">
        <f>IF( OR(M46=0,M$25=0),NA(), M46)</f>
        <v>1.9124871050140486</v>
      </c>
      <c r="N51" s="26">
        <f>IF( OR(N46=0,N$25=0),NA(), N46)</f>
        <v>1.9434679931408045</v>
      </c>
      <c r="O51" s="26">
        <f>IF( OR(O46=0,O$25=0),NA(), O46)</f>
        <v>1.9749597109369479</v>
      </c>
      <c r="P51" s="26">
        <f>IF( OR(P46=0,P$25=0),NA(), P46)</f>
        <v>2.0069708243698967</v>
      </c>
      <c r="Q51" s="26">
        <f>IF( OR(Q46=0,Q$25=0),NA(), Q46)</f>
        <v>2.0395100453269404</v>
      </c>
      <c r="R51" s="26">
        <f>IF( OR(R46=0,R$25=0),NA(), R46)</f>
        <v>2.0725862341371926</v>
      </c>
      <c r="S51" s="26">
        <f>IF( OR(S46=0,S$25=0),NA(), S46)</f>
        <v>2.1062084021377077</v>
      </c>
      <c r="T51" s="26">
        <f>IF( OR(T46=0,T$25=0),NA(), T46)</f>
        <v>2.1403857142845464</v>
      </c>
      <c r="U51" s="26">
        <f>IF( OR(U46=0,U$25=0),NA(), U46)</f>
        <v>2.1751274918095751</v>
      </c>
      <c r="V51" s="26">
        <f>IF( OR(V46=0,V$25=0),NA(), V46)</f>
        <v>2.210443214923826</v>
      </c>
      <c r="W51" s="26" t="e">
        <f>IF( OR(W46=0,W$25=0),NA(), W46)</f>
        <v>#N/A</v>
      </c>
      <c r="X51" s="26" t="e">
        <f>IF( OR(X46=0,X$25=0),NA(), X46)</f>
        <v>#N/A</v>
      </c>
      <c r="Y51" s="26" t="e">
        <f>IF( OR(Y46=0,Y$25=0),NA(), Y46)</f>
        <v>#N/A</v>
      </c>
    </row>
    <row r="52" spans="4:25" x14ac:dyDescent="0.4"/>
    <row r="53" spans="4:25" x14ac:dyDescent="0.4"/>
    <row r="54" spans="4:25" x14ac:dyDescent="0.4"/>
    <row r="55" spans="4:25" x14ac:dyDescent="0.4"/>
    <row r="56" spans="4:25" x14ac:dyDescent="0.4"/>
    <row r="57" spans="4:25" x14ac:dyDescent="0.4"/>
    <row r="58" spans="4:25" x14ac:dyDescent="0.4"/>
    <row r="59" spans="4:25" x14ac:dyDescent="0.4"/>
    <row r="60" spans="4:25" x14ac:dyDescent="0.4"/>
    <row r="61" spans="4:25" x14ac:dyDescent="0.4"/>
    <row r="62" spans="4:25" x14ac:dyDescent="0.4"/>
    <row r="63" spans="4:25" x14ac:dyDescent="0.4"/>
    <row r="64" spans="4:25" x14ac:dyDescent="0.4"/>
    <row r="65" spans="10:10" x14ac:dyDescent="0.4"/>
    <row r="66" spans="10:10" x14ac:dyDescent="0.4"/>
    <row r="67" spans="10:10" x14ac:dyDescent="0.4"/>
    <row r="68" spans="10:10" x14ac:dyDescent="0.4"/>
    <row r="69" spans="10:10" x14ac:dyDescent="0.4"/>
    <row r="70" spans="10:10" x14ac:dyDescent="0.4"/>
    <row r="71" spans="10:10" x14ac:dyDescent="0.4"/>
    <row r="72" spans="10:10" x14ac:dyDescent="0.4"/>
    <row r="73" spans="10:10" x14ac:dyDescent="0.4"/>
    <row r="74" spans="10:10" x14ac:dyDescent="0.4"/>
    <row r="75" spans="10:10" x14ac:dyDescent="0.4"/>
    <row r="76" spans="10:10" x14ac:dyDescent="0.4"/>
    <row r="77" spans="10:10" x14ac:dyDescent="0.4"/>
    <row r="78" spans="10:10" x14ac:dyDescent="0.4"/>
    <row r="79" spans="10:10" x14ac:dyDescent="0.4"/>
    <row r="80" spans="10:10" x14ac:dyDescent="0.4">
      <c r="J80" s="15" t="s">
        <v>22</v>
      </c>
    </row>
    <row r="81" spans="10:25" x14ac:dyDescent="0.4">
      <c r="J81" s="1" t="str">
        <f>G49</f>
        <v>Lock-up</v>
      </c>
      <c r="K81" s="23">
        <f>IF(K$25=0,NA(),$G$50)</f>
        <v>1.4</v>
      </c>
      <c r="L81" s="23">
        <f>IF(L$25=0,NA(),$G$50)</f>
        <v>1.4</v>
      </c>
      <c r="M81" s="23">
        <f>IF(M$25=0,NA(),$G$50)</f>
        <v>1.4</v>
      </c>
      <c r="N81" s="23">
        <f>IF(N$25=0,NA(),$G$50)</f>
        <v>1.4</v>
      </c>
      <c r="O81" s="23">
        <f>IF(O$25=0,NA(),$G$50)</f>
        <v>1.4</v>
      </c>
      <c r="P81" s="23">
        <f>IF(P$25=0,NA(),$G$50)</f>
        <v>1.4</v>
      </c>
      <c r="Q81" s="23">
        <f>IF(Q$25=0,NA(),$G$50)</f>
        <v>1.4</v>
      </c>
      <c r="R81" s="23">
        <f>IF(R$25=0,NA(),$G$50)</f>
        <v>1.4</v>
      </c>
      <c r="S81" s="23">
        <f>IF(S$25=0,NA(),$G$50)</f>
        <v>1.4</v>
      </c>
      <c r="T81" s="23">
        <f>IF(T$25=0,NA(),$G$50)</f>
        <v>1.4</v>
      </c>
      <c r="U81" s="23">
        <f>IF(U$25=0,NA(),$G$50)</f>
        <v>1.4</v>
      </c>
      <c r="V81" s="23">
        <f>IF(V$25=0,NA(),$G$50)</f>
        <v>1.4</v>
      </c>
      <c r="W81" s="23" t="e">
        <f>IF(W$25=0,NA(),$G$50)</f>
        <v>#N/A</v>
      </c>
      <c r="X81" s="23" t="e">
        <f>IF(X$25=0,NA(),$G$50)</f>
        <v>#N/A</v>
      </c>
      <c r="Y81" s="23" t="e">
        <f>IF(Y$25=0,NA(),$G$50)</f>
        <v>#N/A</v>
      </c>
    </row>
    <row r="82" spans="10:25" x14ac:dyDescent="0.4">
      <c r="J82" s="1" t="str">
        <f>H49</f>
        <v>Default</v>
      </c>
      <c r="K82" s="23">
        <f>IF(K$25=0,NA(),$H$50)</f>
        <v>1.2</v>
      </c>
      <c r="L82" s="23">
        <f>IF(L$25=0,NA(),$H$50)</f>
        <v>1.2</v>
      </c>
      <c r="M82" s="23">
        <f>IF(M$25=0,NA(),$H$50)</f>
        <v>1.2</v>
      </c>
      <c r="N82" s="23">
        <f>IF(N$25=0,NA(),$H$50)</f>
        <v>1.2</v>
      </c>
      <c r="O82" s="23">
        <f>IF(O$25=0,NA(),$H$50)</f>
        <v>1.2</v>
      </c>
      <c r="P82" s="23">
        <f>IF(P$25=0,NA(),$H$50)</f>
        <v>1.2</v>
      </c>
      <c r="Q82" s="23">
        <f>IF(Q$25=0,NA(),$H$50)</f>
        <v>1.2</v>
      </c>
      <c r="R82" s="23">
        <f>IF(R$25=0,NA(),$H$50)</f>
        <v>1.2</v>
      </c>
      <c r="S82" s="23">
        <f>IF(S$25=0,NA(),$H$50)</f>
        <v>1.2</v>
      </c>
      <c r="T82" s="23">
        <f>IF(T$25=0,NA(),$H$50)</f>
        <v>1.2</v>
      </c>
      <c r="U82" s="23">
        <f>IF(U$25=0,NA(),$H$50)</f>
        <v>1.2</v>
      </c>
      <c r="V82" s="23">
        <f>IF(V$25=0,NA(),$H$50)</f>
        <v>1.2</v>
      </c>
      <c r="W82" s="23" t="e">
        <f>IF(W$25=0,NA(),$H$50)</f>
        <v>#N/A</v>
      </c>
      <c r="X82" s="23" t="e">
        <f>IF(X$25=0,NA(),$H$50)</f>
        <v>#N/A</v>
      </c>
      <c r="Y82" s="23" t="e">
        <f>IF(Y$25=0,NA(),$H$50)</f>
        <v>#N/A</v>
      </c>
    </row>
    <row r="83" spans="10:25" x14ac:dyDescent="0.4"/>
    <row r="84" spans="10:25" x14ac:dyDescent="0.4"/>
    <row r="85" spans="10:25" x14ac:dyDescent="0.4"/>
    <row r="86" spans="10:25" x14ac:dyDescent="0.4"/>
    <row r="87" spans="10:25" x14ac:dyDescent="0.4"/>
    <row r="88" spans="10:25" x14ac:dyDescent="0.4"/>
    <row r="89" spans="10:25" hidden="1" x14ac:dyDescent="0.4"/>
    <row r="90" spans="10:25" hidden="1" x14ac:dyDescent="0.4"/>
    <row r="91" spans="10:25" hidden="1" x14ac:dyDescent="0.4"/>
    <row r="92" spans="10:25" hidden="1" x14ac:dyDescent="0.4"/>
    <row r="93" spans="10:25" hidden="1" x14ac:dyDescent="0.4"/>
    <row r="94" spans="10:25" hidden="1" x14ac:dyDescent="0.4"/>
    <row r="95" spans="10:25" hidden="1" x14ac:dyDescent="0.4"/>
    <row r="96" spans="10:25" hidden="1" x14ac:dyDescent="0.4"/>
    <row r="97" hidden="1" x14ac:dyDescent="0.4"/>
    <row r="98" hidden="1" x14ac:dyDescent="0.4"/>
    <row r="99" hidden="1" x14ac:dyDescent="0.4"/>
    <row r="100" hidden="1" x14ac:dyDescent="0.4"/>
    <row r="101" hidden="1" x14ac:dyDescent="0.4"/>
    <row r="102" hidden="1" x14ac:dyDescent="0.4"/>
    <row r="103" hidden="1" x14ac:dyDescent="0.4"/>
    <row r="104" hidden="1" x14ac:dyDescent="0.4"/>
    <row r="105" hidden="1" x14ac:dyDescent="0.4"/>
    <row r="106" hidden="1" x14ac:dyDescent="0.4"/>
    <row r="107" hidden="1" x14ac:dyDescent="0.4"/>
    <row r="108" hidden="1" x14ac:dyDescent="0.4"/>
    <row r="109" hidden="1" x14ac:dyDescent="0.4"/>
    <row r="110" hidden="1" x14ac:dyDescent="0.4"/>
    <row r="111" hidden="1" x14ac:dyDescent="0.4"/>
    <row r="112" hidden="1" x14ac:dyDescent="0.4"/>
    <row r="113" hidden="1" x14ac:dyDescent="0.4"/>
    <row r="114" hidden="1" x14ac:dyDescent="0.4"/>
    <row r="115" hidden="1" x14ac:dyDescent="0.4"/>
    <row r="116" hidden="1" x14ac:dyDescent="0.4"/>
    <row r="117" hidden="1" x14ac:dyDescent="0.4"/>
    <row r="118" hidden="1" x14ac:dyDescent="0.4"/>
    <row r="119" hidden="1" x14ac:dyDescent="0.4"/>
    <row r="120" hidden="1" x14ac:dyDescent="0.4"/>
    <row r="121" hidden="1" x14ac:dyDescent="0.4"/>
    <row r="122" hidden="1" x14ac:dyDescent="0.4"/>
    <row r="123" hidden="1" x14ac:dyDescent="0.4"/>
    <row r="124" hidden="1" x14ac:dyDescent="0.4"/>
    <row r="125" hidden="1" x14ac:dyDescent="0.4"/>
    <row r="126" hidden="1" x14ac:dyDescent="0.4"/>
    <row r="127" hidden="1" x14ac:dyDescent="0.4"/>
    <row r="128" hidden="1" x14ac:dyDescent="0.4"/>
    <row r="129" hidden="1" x14ac:dyDescent="0.4"/>
    <row r="130" hidden="1" x14ac:dyDescent="0.4"/>
    <row r="131" hidden="1" x14ac:dyDescent="0.4"/>
    <row r="132" hidden="1" x14ac:dyDescent="0.4"/>
    <row r="133" hidden="1" x14ac:dyDescent="0.4"/>
    <row r="134" hidden="1" x14ac:dyDescent="0.4"/>
    <row r="135" hidden="1" x14ac:dyDescent="0.4"/>
    <row r="136" hidden="1" x14ac:dyDescent="0.4"/>
    <row r="137" hidden="1" x14ac:dyDescent="0.4"/>
    <row r="138" hidden="1" x14ac:dyDescent="0.4"/>
    <row r="139" hidden="1" x14ac:dyDescent="0.4"/>
    <row r="140" hidden="1" x14ac:dyDescent="0.4"/>
    <row r="141" hidden="1" x14ac:dyDescent="0.4"/>
    <row r="142" hidden="1" x14ac:dyDescent="0.4"/>
    <row r="143" hidden="1" x14ac:dyDescent="0.4"/>
    <row r="144" hidden="1" x14ac:dyDescent="0.4"/>
    <row r="145" hidden="1" x14ac:dyDescent="0.4"/>
    <row r="146" hidden="1" x14ac:dyDescent="0.4"/>
    <row r="147" hidden="1" x14ac:dyDescent="0.4"/>
    <row r="148" hidden="1" x14ac:dyDescent="0.4"/>
    <row r="149" hidden="1" x14ac:dyDescent="0.4"/>
    <row r="150" hidden="1" x14ac:dyDescent="0.4"/>
    <row r="151" hidden="1" x14ac:dyDescent="0.4"/>
    <row r="152" hidden="1" x14ac:dyDescent="0.4"/>
    <row r="153" hidden="1" x14ac:dyDescent="0.4"/>
    <row r="154" hidden="1" x14ac:dyDescent="0.4"/>
    <row r="155" hidden="1" x14ac:dyDescent="0.4"/>
    <row r="156" hidden="1" x14ac:dyDescent="0.4"/>
    <row r="157" hidden="1" x14ac:dyDescent="0.4"/>
    <row r="158" hidden="1" x14ac:dyDescent="0.4"/>
    <row r="159" hidden="1" x14ac:dyDescent="0.4"/>
    <row r="160" hidden="1" x14ac:dyDescent="0.4"/>
    <row r="161" hidden="1" x14ac:dyDescent="0.4"/>
    <row r="162" hidden="1" x14ac:dyDescent="0.4"/>
    <row r="163" hidden="1" x14ac:dyDescent="0.4"/>
    <row r="164" hidden="1" x14ac:dyDescent="0.4"/>
    <row r="165" hidden="1" x14ac:dyDescent="0.4"/>
    <row r="166" hidden="1" x14ac:dyDescent="0.4"/>
    <row r="167" hidden="1" x14ac:dyDescent="0.4"/>
    <row r="168" hidden="1" x14ac:dyDescent="0.4"/>
    <row r="169" hidden="1" x14ac:dyDescent="0.4"/>
    <row r="170" hidden="1" x14ac:dyDescent="0.4"/>
    <row r="171" hidden="1" x14ac:dyDescent="0.4"/>
    <row r="172" hidden="1" x14ac:dyDescent="0.4"/>
    <row r="173" hidden="1" x14ac:dyDescent="0.4"/>
    <row r="174" hidden="1" x14ac:dyDescent="0.4"/>
    <row r="175" hidden="1" x14ac:dyDescent="0.4"/>
    <row r="176" hidden="1" x14ac:dyDescent="0.4"/>
    <row r="177" hidden="1" x14ac:dyDescent="0.4"/>
    <row r="178" hidden="1" x14ac:dyDescent="0.4"/>
    <row r="179" hidden="1" x14ac:dyDescent="0.4"/>
    <row r="180" hidden="1" x14ac:dyDescent="0.4"/>
    <row r="181" hidden="1" x14ac:dyDescent="0.4"/>
    <row r="182" hidden="1" x14ac:dyDescent="0.4"/>
    <row r="183" hidden="1" x14ac:dyDescent="0.4"/>
    <row r="184" hidden="1" x14ac:dyDescent="0.4"/>
    <row r="185" hidden="1" x14ac:dyDescent="0.4"/>
    <row r="186" hidden="1" x14ac:dyDescent="0.4"/>
    <row r="187" hidden="1" x14ac:dyDescent="0.4"/>
    <row r="188" hidden="1" x14ac:dyDescent="0.4"/>
    <row r="189" hidden="1" x14ac:dyDescent="0.4"/>
    <row r="190" hidden="1" x14ac:dyDescent="0.4"/>
    <row r="191" hidden="1" x14ac:dyDescent="0.4"/>
    <row r="192" hidden="1" x14ac:dyDescent="0.4"/>
    <row r="193" hidden="1" x14ac:dyDescent="0.4"/>
    <row r="194" hidden="1" x14ac:dyDescent="0.4"/>
    <row r="195" hidden="1" x14ac:dyDescent="0.4"/>
    <row r="196" hidden="1" x14ac:dyDescent="0.4"/>
    <row r="197" hidden="1" x14ac:dyDescent="0.4"/>
    <row r="198" hidden="1" x14ac:dyDescent="0.4"/>
    <row r="199" hidden="1" x14ac:dyDescent="0.4"/>
    <row r="200" hidden="1" x14ac:dyDescent="0.4"/>
    <row r="201" hidden="1" x14ac:dyDescent="0.4"/>
    <row r="202" hidden="1" x14ac:dyDescent="0.4"/>
    <row r="203" hidden="1" x14ac:dyDescent="0.4"/>
    <row r="204" hidden="1" x14ac:dyDescent="0.4"/>
    <row r="205" hidden="1" x14ac:dyDescent="0.4"/>
    <row r="206" hidden="1" x14ac:dyDescent="0.4"/>
    <row r="207" hidden="1" x14ac:dyDescent="0.4"/>
    <row r="208" hidden="1" x14ac:dyDescent="0.4"/>
    <row r="209" hidden="1" x14ac:dyDescent="0.4"/>
    <row r="210" hidden="1" x14ac:dyDescent="0.4"/>
    <row r="211" hidden="1" x14ac:dyDescent="0.4"/>
    <row r="212" hidden="1" x14ac:dyDescent="0.4"/>
    <row r="213" hidden="1" x14ac:dyDescent="0.4"/>
    <row r="214" hidden="1" x14ac:dyDescent="0.4"/>
    <row r="215" hidden="1" x14ac:dyDescent="0.4"/>
    <row r="216" x14ac:dyDescent="0.4"/>
  </sheetData>
  <mergeCells count="1">
    <mergeCell ref="F44:H44"/>
  </mergeCells>
  <conditionalFormatting sqref="K34:Y34">
    <cfRule type="cellIs" dxfId="3" priority="13" operator="equal">
      <formula>1</formula>
    </cfRule>
  </conditionalFormatting>
  <conditionalFormatting sqref="G51:H51">
    <cfRule type="cellIs" dxfId="2" priority="10" operator="equal">
      <formula>0</formula>
    </cfRule>
  </conditionalFormatting>
  <conditionalFormatting sqref="K46:Y46">
    <cfRule type="cellIs" dxfId="1" priority="8" operator="equal">
      <formula>$G46</formula>
    </cfRule>
  </conditionalFormatting>
  <dataValidations disablePrompts="1" count="1">
    <dataValidation type="list" allowBlank="1" showInputMessage="1" showErrorMessage="1" sqref="F18">
      <formula1>$K$14:$Y$14</formula1>
    </dataValidation>
  </dataValidations>
  <pageMargins left="0.7" right="0.7" top="0.75" bottom="0.75" header="0.3" footer="0.3"/>
  <pageSetup paperSize="9" scale="66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Cover</vt:lpstr>
      <vt:lpstr>LLCR</vt:lpstr>
      <vt:lpstr>Constant.QuartersInYear</vt:lpstr>
      <vt:lpstr>Constants.MonthsInQuarter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Crawley</dc:creator>
  <cp:lastModifiedBy>Nick Crawley</cp:lastModifiedBy>
  <cp:lastPrinted>2016-10-31T02:42:36Z</cp:lastPrinted>
  <dcterms:created xsi:type="dcterms:W3CDTF">2016-02-12T04:56:13Z</dcterms:created>
  <dcterms:modified xsi:type="dcterms:W3CDTF">2017-07-18T00:47:20Z</dcterms:modified>
</cp:coreProperties>
</file>