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Nick Crawley\Dropbox\02. Business\01. Vector\04. Marketing\Webpage\Blogs\10. NPV and IRR\"/>
    </mc:Choice>
  </mc:AlternateContent>
  <bookViews>
    <workbookView xWindow="0" yWindow="0" windowWidth="11558" windowHeight="9563" tabRatio="805"/>
  </bookViews>
  <sheets>
    <sheet name="Cover" sheetId="52" r:id="rId1"/>
    <sheet name="NPV and IRR" sheetId="55" r:id="rId2"/>
  </sheets>
  <definedNames>
    <definedName name="Constants.DaysInYear">'NPV and IRR'!$F$13</definedName>
    <definedName name="Constants.MonthsInQuarter">'NPV and IRR'!$F$12</definedName>
    <definedName name="Constants.Number.Tiny">'NPV and IRR'!$F$15</definedName>
    <definedName name="Constants.QuartersInYear">'NPV and IRR'!$F$11</definedName>
    <definedName name="DiscountRate.Project.PA">'NPV and IRR'!$F$19</definedName>
    <definedName name="IRR.StartingPoint">'NPV and IRR'!$F$20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4" i="55" l="1"/>
  <c r="G41" i="55"/>
  <c r="J63" i="55"/>
  <c r="J64" i="55"/>
  <c r="J60" i="55"/>
  <c r="K59" i="55"/>
  <c r="K60" i="55"/>
  <c r="L59" i="55"/>
  <c r="L60" i="55"/>
  <c r="M59" i="55"/>
  <c r="M60" i="55"/>
  <c r="N59" i="55"/>
  <c r="N60" i="55"/>
  <c r="O59" i="55"/>
  <c r="O60" i="55"/>
  <c r="P59" i="55"/>
  <c r="P60" i="55"/>
  <c r="Q59" i="55"/>
  <c r="Q60" i="55"/>
  <c r="R59" i="55"/>
  <c r="R60" i="55"/>
  <c r="S59" i="55"/>
  <c r="S60" i="55"/>
  <c r="T59" i="55"/>
  <c r="T60" i="55"/>
  <c r="U59" i="55"/>
  <c r="U60" i="55"/>
  <c r="V59" i="55"/>
  <c r="V60" i="55"/>
  <c r="W59" i="55"/>
  <c r="W60" i="55"/>
  <c r="X59" i="55"/>
  <c r="X60" i="55"/>
  <c r="Y59" i="55"/>
  <c r="Y60" i="55"/>
  <c r="Z59" i="55"/>
  <c r="Z60" i="55"/>
  <c r="AA59" i="55"/>
  <c r="AA60" i="55"/>
  <c r="AB59" i="55"/>
  <c r="AB60" i="55"/>
  <c r="AC59" i="55"/>
  <c r="AC60" i="55"/>
  <c r="K61" i="55"/>
  <c r="K62" i="55"/>
  <c r="K51" i="55"/>
  <c r="K63" i="55"/>
  <c r="K64" i="55"/>
  <c r="L61" i="55"/>
  <c r="L62" i="55"/>
  <c r="L51" i="55"/>
  <c r="L63" i="55"/>
  <c r="L64" i="55"/>
  <c r="M61" i="55"/>
  <c r="M62" i="55"/>
  <c r="M51" i="55"/>
  <c r="M63" i="55"/>
  <c r="M64" i="55"/>
  <c r="N61" i="55"/>
  <c r="N62" i="55"/>
  <c r="N51" i="55"/>
  <c r="N63" i="55"/>
  <c r="N64" i="55"/>
  <c r="O61" i="55"/>
  <c r="O62" i="55"/>
  <c r="O51" i="55"/>
  <c r="O63" i="55"/>
  <c r="O64" i="55"/>
  <c r="P61" i="55"/>
  <c r="P62" i="55"/>
  <c r="P51" i="55"/>
  <c r="P63" i="55"/>
  <c r="P64" i="55"/>
  <c r="Q61" i="55"/>
  <c r="Q62" i="55"/>
  <c r="Q51" i="55"/>
  <c r="Q63" i="55"/>
  <c r="Q64" i="55"/>
  <c r="R61" i="55"/>
  <c r="R62" i="55"/>
  <c r="R51" i="55"/>
  <c r="R63" i="55"/>
  <c r="R64" i="55"/>
  <c r="S61" i="55"/>
  <c r="S62" i="55"/>
  <c r="S51" i="55"/>
  <c r="S63" i="55"/>
  <c r="S64" i="55"/>
  <c r="T61" i="55"/>
  <c r="T62" i="55"/>
  <c r="T51" i="55"/>
  <c r="T63" i="55"/>
  <c r="T64" i="55"/>
  <c r="U61" i="55"/>
  <c r="U62" i="55"/>
  <c r="U51" i="55"/>
  <c r="U63" i="55"/>
  <c r="U64" i="55"/>
  <c r="V61" i="55"/>
  <c r="V62" i="55"/>
  <c r="V51" i="55"/>
  <c r="V63" i="55"/>
  <c r="V64" i="55"/>
  <c r="W61" i="55"/>
  <c r="W62" i="55"/>
  <c r="W51" i="55"/>
  <c r="W63" i="55"/>
  <c r="W64" i="55"/>
  <c r="X61" i="55"/>
  <c r="X62" i="55"/>
  <c r="X51" i="55"/>
  <c r="X63" i="55"/>
  <c r="X64" i="55"/>
  <c r="Y61" i="55"/>
  <c r="Y62" i="55"/>
  <c r="Y51" i="55"/>
  <c r="Y63" i="55"/>
  <c r="Y64" i="55"/>
  <c r="Z61" i="55"/>
  <c r="Z62" i="55"/>
  <c r="Z51" i="55"/>
  <c r="Z63" i="55"/>
  <c r="Z64" i="55"/>
  <c r="AA61" i="55"/>
  <c r="AA62" i="55"/>
  <c r="AA51" i="55"/>
  <c r="AA63" i="55"/>
  <c r="AA64" i="55"/>
  <c r="AB61" i="55"/>
  <c r="AB62" i="55"/>
  <c r="AB51" i="55"/>
  <c r="AB63" i="55"/>
  <c r="AB64" i="55"/>
  <c r="AC61" i="55"/>
  <c r="AC62" i="55"/>
  <c r="AC51" i="55"/>
  <c r="AC63" i="55"/>
  <c r="AC64" i="55"/>
  <c r="F64" i="55"/>
  <c r="F84" i="55"/>
  <c r="E85" i="55"/>
  <c r="K47" i="55"/>
  <c r="L46" i="55"/>
  <c r="L47" i="55"/>
  <c r="L71" i="55"/>
  <c r="L70" i="55"/>
  <c r="L72" i="55"/>
  <c r="L73" i="55"/>
  <c r="M46" i="55"/>
  <c r="M47" i="55"/>
  <c r="M71" i="55"/>
  <c r="M70" i="55"/>
  <c r="M72" i="55"/>
  <c r="M73" i="55"/>
  <c r="N46" i="55"/>
  <c r="N47" i="55"/>
  <c r="N71" i="55"/>
  <c r="N70" i="55"/>
  <c r="N72" i="55"/>
  <c r="N73" i="55"/>
  <c r="O46" i="55"/>
  <c r="O47" i="55"/>
  <c r="O71" i="55"/>
  <c r="O70" i="55"/>
  <c r="O72" i="55"/>
  <c r="O73" i="55"/>
  <c r="P46" i="55"/>
  <c r="P47" i="55"/>
  <c r="P71" i="55"/>
  <c r="P70" i="55"/>
  <c r="P72" i="55"/>
  <c r="P73" i="55"/>
  <c r="Q46" i="55"/>
  <c r="Q47" i="55"/>
  <c r="Q71" i="55"/>
  <c r="Q70" i="55"/>
  <c r="Q72" i="55"/>
  <c r="Q73" i="55"/>
  <c r="R46" i="55"/>
  <c r="R47" i="55"/>
  <c r="R71" i="55"/>
  <c r="R70" i="55"/>
  <c r="R72" i="55"/>
  <c r="R73" i="55"/>
  <c r="S46" i="55"/>
  <c r="S47" i="55"/>
  <c r="S71" i="55"/>
  <c r="S70" i="55"/>
  <c r="S72" i="55"/>
  <c r="S73" i="55"/>
  <c r="T46" i="55"/>
  <c r="T47" i="55"/>
  <c r="T71" i="55"/>
  <c r="T70" i="55"/>
  <c r="T72" i="55"/>
  <c r="T73" i="55"/>
  <c r="U46" i="55"/>
  <c r="U47" i="55"/>
  <c r="U71" i="55"/>
  <c r="U70" i="55"/>
  <c r="U72" i="55"/>
  <c r="U73" i="55"/>
  <c r="V46" i="55"/>
  <c r="V47" i="55"/>
  <c r="V71" i="55"/>
  <c r="V70" i="55"/>
  <c r="V72" i="55"/>
  <c r="V73" i="55"/>
  <c r="W46" i="55"/>
  <c r="W47" i="55"/>
  <c r="W71" i="55"/>
  <c r="W70" i="55"/>
  <c r="W72" i="55"/>
  <c r="W73" i="55"/>
  <c r="X46" i="55"/>
  <c r="X47" i="55"/>
  <c r="X71" i="55"/>
  <c r="X70" i="55"/>
  <c r="X72" i="55"/>
  <c r="X73" i="55"/>
  <c r="Y46" i="55"/>
  <c r="Y47" i="55"/>
  <c r="Y71" i="55"/>
  <c r="Y70" i="55"/>
  <c r="Y72" i="55"/>
  <c r="Y73" i="55"/>
  <c r="Z46" i="55"/>
  <c r="Z47" i="55"/>
  <c r="Z71" i="55"/>
  <c r="Z70" i="55"/>
  <c r="Z72" i="55"/>
  <c r="Z73" i="55"/>
  <c r="AA46" i="55"/>
  <c r="AA47" i="55"/>
  <c r="AA71" i="55"/>
  <c r="AA70" i="55"/>
  <c r="AA72" i="55"/>
  <c r="AA73" i="55"/>
  <c r="AB46" i="55"/>
  <c r="AB47" i="55"/>
  <c r="AB71" i="55"/>
  <c r="AB70" i="55"/>
  <c r="AB72" i="55"/>
  <c r="AB73" i="55"/>
  <c r="AC46" i="55"/>
  <c r="AC47" i="55"/>
  <c r="AC71" i="55"/>
  <c r="AC70" i="55"/>
  <c r="AC72" i="55"/>
  <c r="AC73" i="55"/>
  <c r="AC74" i="55"/>
  <c r="AC75" i="55"/>
  <c r="AB74" i="55"/>
  <c r="AB75" i="55"/>
  <c r="AA74" i="55"/>
  <c r="AA75" i="55"/>
  <c r="Z74" i="55"/>
  <c r="Z75" i="55"/>
  <c r="Y74" i="55"/>
  <c r="Y75" i="55"/>
  <c r="X74" i="55"/>
  <c r="X75" i="55"/>
  <c r="W74" i="55"/>
  <c r="W75" i="55"/>
  <c r="V74" i="55"/>
  <c r="V75" i="55"/>
  <c r="U74" i="55"/>
  <c r="U75" i="55"/>
  <c r="T74" i="55"/>
  <c r="T75" i="55"/>
  <c r="S74" i="55"/>
  <c r="S75" i="55"/>
  <c r="R74" i="55"/>
  <c r="R75" i="55"/>
  <c r="Q74" i="55"/>
  <c r="Q75" i="55"/>
  <c r="P74" i="55"/>
  <c r="P75" i="55"/>
  <c r="O74" i="55"/>
  <c r="O75" i="55"/>
  <c r="N74" i="55"/>
  <c r="N75" i="55"/>
  <c r="M74" i="55"/>
  <c r="M75" i="55"/>
  <c r="L74" i="55"/>
  <c r="L75" i="55"/>
  <c r="K74" i="55"/>
  <c r="K71" i="55"/>
  <c r="K70" i="55"/>
  <c r="K72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AC58" i="55"/>
  <c r="AC69" i="55"/>
  <c r="AB69" i="55"/>
  <c r="AA69" i="55"/>
  <c r="Z69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J69" i="55"/>
  <c r="K75" i="55"/>
  <c r="G75" i="55"/>
  <c r="J48" i="55"/>
  <c r="J50" i="55"/>
  <c r="J49" i="55"/>
  <c r="K25" i="55"/>
  <c r="L25" i="55"/>
  <c r="M25" i="55"/>
  <c r="N25" i="55"/>
  <c r="O25" i="55"/>
  <c r="P25" i="55"/>
  <c r="Q25" i="55"/>
  <c r="R25" i="55"/>
  <c r="S25" i="55"/>
  <c r="T25" i="55"/>
  <c r="F38" i="55"/>
  <c r="F39" i="55"/>
  <c r="G40" i="55"/>
  <c r="N29" i="55"/>
  <c r="O29" i="55"/>
  <c r="P29" i="55"/>
  <c r="Q29" i="55"/>
  <c r="R29" i="55"/>
  <c r="S29" i="55"/>
  <c r="T29" i="55"/>
  <c r="J29" i="55"/>
  <c r="K29" i="55"/>
  <c r="L29" i="55"/>
  <c r="M29" i="55"/>
  <c r="G29" i="55"/>
  <c r="F29" i="55"/>
  <c r="T32" i="55"/>
  <c r="S32" i="55"/>
  <c r="R32" i="55"/>
  <c r="Q32" i="55"/>
  <c r="P32" i="55"/>
  <c r="O32" i="55"/>
  <c r="N32" i="55"/>
  <c r="M32" i="55"/>
  <c r="L32" i="55"/>
  <c r="K32" i="55"/>
  <c r="J32" i="55"/>
  <c r="J33" i="55"/>
  <c r="J34" i="55"/>
  <c r="K33" i="55"/>
  <c r="K34" i="55"/>
  <c r="L33" i="55"/>
  <c r="L34" i="55"/>
  <c r="M33" i="55"/>
  <c r="M34" i="55"/>
  <c r="N33" i="55"/>
  <c r="N34" i="55"/>
  <c r="O33" i="55"/>
  <c r="O34" i="55"/>
  <c r="P33" i="55"/>
  <c r="P34" i="55"/>
  <c r="Q33" i="55"/>
  <c r="Q34" i="55"/>
  <c r="R33" i="55"/>
  <c r="R34" i="55"/>
  <c r="S33" i="55"/>
  <c r="S34" i="55"/>
  <c r="T33" i="55"/>
  <c r="T34" i="55"/>
  <c r="F34" i="55"/>
  <c r="K24" i="55"/>
  <c r="L24" i="55"/>
  <c r="M24" i="55"/>
  <c r="N24" i="55"/>
  <c r="O24" i="55"/>
  <c r="P24" i="55"/>
  <c r="Q24" i="55"/>
  <c r="R24" i="55"/>
  <c r="S24" i="55"/>
  <c r="T24" i="55"/>
  <c r="E86" i="55"/>
  <c r="E87" i="55"/>
  <c r="E88" i="55"/>
  <c r="E89" i="55"/>
  <c r="E90" i="55"/>
  <c r="E91" i="55"/>
  <c r="E92" i="55"/>
  <c r="E93" i="55"/>
  <c r="E94" i="55"/>
  <c r="E95" i="55"/>
  <c r="E96" i="55"/>
  <c r="E97" i="55"/>
  <c r="E98" i="55"/>
  <c r="E99" i="55"/>
  <c r="E100" i="55"/>
  <c r="E101" i="55"/>
  <c r="E102" i="55"/>
  <c r="E103" i="55"/>
  <c r="E104" i="55"/>
  <c r="E105" i="55"/>
  <c r="E106" i="55"/>
  <c r="E107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AC45" i="55"/>
  <c r="M9" i="52"/>
  <c r="G64" i="55"/>
  <c r="G65" i="55"/>
  <c r="G54" i="55"/>
  <c r="G55" i="55"/>
</calcChain>
</file>

<file path=xl/sharedStrings.xml><?xml version="1.0" encoding="utf-8"?>
<sst xmlns="http://schemas.openxmlformats.org/spreadsheetml/2006/main" count="72" uniqueCount="46">
  <si>
    <t>$M</t>
  </si>
  <si>
    <t>% p.a.</t>
  </si>
  <si>
    <t>Quarters in a year</t>
  </si>
  <si>
    <t>Months in a quarter</t>
  </si>
  <si>
    <t>Extracts required for demonstration</t>
  </si>
  <si>
    <t>Net cashflow</t>
  </si>
  <si>
    <t>Discount rate</t>
  </si>
  <si>
    <t>Applied to project</t>
  </si>
  <si>
    <t>Discount factor</t>
  </si>
  <si>
    <t>Net cashflow (PV)</t>
  </si>
  <si>
    <t>Tiny number</t>
  </si>
  <si>
    <t>Days in period</t>
  </si>
  <si>
    <t>Period counter</t>
  </si>
  <si>
    <t>SUM()</t>
  </si>
  <si>
    <t>XNPV()</t>
  </si>
  <si>
    <t>XIRR()</t>
  </si>
  <si>
    <t>NPV as a function of discount rate</t>
  </si>
  <si>
    <t>r</t>
  </si>
  <si>
    <t>NPV</t>
  </si>
  <si>
    <t>Profile 1</t>
  </si>
  <si>
    <t>Profile 2</t>
  </si>
  <si>
    <t>Profile 3</t>
  </si>
  <si>
    <t>Applied</t>
  </si>
  <si>
    <t>Annual data</t>
  </si>
  <si>
    <t>Using NPV()</t>
  </si>
  <si>
    <t>NPV from First Principles</t>
  </si>
  <si>
    <t>Days in a year</t>
  </si>
  <si>
    <t>NPV()</t>
  </si>
  <si>
    <t>IRR()</t>
  </si>
  <si>
    <t>IRR 'starting point'</t>
  </si>
  <si>
    <t>%</t>
  </si>
  <si>
    <t>IRR estimate</t>
  </si>
  <si>
    <t>Low</t>
  </si>
  <si>
    <t>High</t>
  </si>
  <si>
    <t>Rate</t>
  </si>
  <si>
    <t>Relatively easy and here for comparison only</t>
  </si>
  <si>
    <t>Using XNPV() and XIRR()</t>
  </si>
  <si>
    <t>Non-annual (variable days) - using Excel functions</t>
  </si>
  <si>
    <t xml:space="preserve">Net cashflow </t>
  </si>
  <si>
    <t>This gives the same result as XNPV but is a very odd way to discount.</t>
  </si>
  <si>
    <t>Non-annual (variable days) - NPV First principles (correct)</t>
  </si>
  <si>
    <r>
      <t xml:space="preserve">Non-annual (variable days) - NPV First principles </t>
    </r>
    <r>
      <rPr>
        <b/>
        <sz val="12"/>
        <color rgb="FFC00000"/>
        <rFont val="Calibri Light"/>
        <family val="2"/>
        <scheme val="major"/>
      </rPr>
      <t>(Incorrect)</t>
    </r>
  </si>
  <si>
    <t>Using the NPV from first principles (correct) approach</t>
  </si>
  <si>
    <t>Explore IRR range from</t>
  </si>
  <si>
    <t>…in steps of</t>
  </si>
  <si>
    <t>Deviation from XIRR()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</si>
</sst>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#,##0_);\(#,##0\);&quot;- &quot;"/>
    <numFmt numFmtId="168" formatCode="#,##0.0_);\(#,##0.0\);\-_);"/>
    <numFmt numFmtId="169" formatCode="#,##0.0_);\(#,##0.0\);\-_);_-@_-"/>
    <numFmt numFmtId="170" formatCode="#,##0.0_);\(#,##0.0\);&quot;- &quot;"/>
    <numFmt numFmtId="171" formatCode="#,##0.00_);\(#,##0.00\);&quot;- &quot;"/>
    <numFmt numFmtId="172" formatCode="#,##0.000_);\(#,##0.000\);&quot;- &quot;"/>
    <numFmt numFmtId="173" formatCode="#,##0.0000_);\(#,##0.0000\);&quot;- &quot;"/>
    <numFmt numFmtId="174" formatCode="#,##0.00_);\(#,##0.00\);\-_)"/>
    <numFmt numFmtId="175" formatCode="0.0000%"/>
  </numFmts>
  <fonts count="34" x14ac:knownFonts="1">
    <font>
      <sz val="10"/>
      <color theme="1"/>
      <name val="Calibri Light"/>
      <family val="2"/>
      <scheme val="maj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rgb="FFC00000"/>
      <name val="Calibri"/>
      <family val="2"/>
      <scheme val="minor"/>
    </font>
    <font>
      <b/>
      <sz val="18"/>
      <color rgb="FF003057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1" tint="0.499984740745262"/>
      <name val="Calibri Light"/>
      <family val="2"/>
      <scheme val="major"/>
    </font>
    <font>
      <sz val="10"/>
      <color theme="0"/>
      <name val="Calibri Light"/>
      <family val="2"/>
      <scheme val="major"/>
    </font>
    <font>
      <sz val="12"/>
      <color theme="0"/>
      <name val="Calibri Light"/>
      <family val="2"/>
      <scheme val="major"/>
    </font>
    <font>
      <b/>
      <sz val="12"/>
      <name val="Calibri Light"/>
      <family val="2"/>
      <scheme val="major"/>
    </font>
    <font>
      <strike/>
      <sz val="10"/>
      <color theme="1"/>
      <name val="Calibri Light"/>
      <family val="2"/>
      <scheme val="major"/>
    </font>
    <font>
      <sz val="10"/>
      <color theme="5"/>
      <name val="Calibri Light"/>
      <family val="2"/>
      <scheme val="major"/>
    </font>
    <font>
      <sz val="10"/>
      <color theme="4" tint="-0.24994659260841701"/>
      <name val="Calibri Light"/>
      <family val="2"/>
      <scheme val="major"/>
    </font>
    <font>
      <sz val="10"/>
      <color rgb="FF2F75B5"/>
      <name val="Calibri Light"/>
      <family val="2"/>
      <scheme val="major"/>
    </font>
    <font>
      <sz val="18"/>
      <color theme="5"/>
      <name val="Calibri Light"/>
      <family val="2"/>
      <scheme val="major"/>
    </font>
    <font>
      <u/>
      <sz val="10"/>
      <name val="Calibri Light"/>
      <family val="2"/>
      <scheme val="major"/>
    </font>
    <font>
      <sz val="10"/>
      <color theme="0" tint="-0.34998626667073579"/>
      <name val="Wingdings 3"/>
      <family val="1"/>
      <charset val="2"/>
    </font>
    <font>
      <b/>
      <sz val="12"/>
      <color rgb="FFC00000"/>
      <name val="Calibri Light"/>
      <family val="2"/>
      <scheme val="maj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2F2F2"/>
        <bgColor auto="1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</borders>
  <cellStyleXfs count="65">
    <xf numFmtId="170" fontId="0" fillId="0" borderId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14" fillId="0" borderId="0" applyNumberFormat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" fillId="8" borderId="7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30" fillId="0" borderId="0" applyNumberFormat="0" applyFill="0"/>
    <xf numFmtId="0" fontId="28" fillId="0" borderId="0" applyNumberFormat="0" applyFill="0" applyBorder="0"/>
    <xf numFmtId="0" fontId="17" fillId="0" borderId="0" applyNumberFormat="0" applyBorder="0"/>
    <xf numFmtId="0" fontId="29" fillId="35" borderId="12" applyNumberFormat="0" applyProtection="0"/>
    <xf numFmtId="0" fontId="27" fillId="37" borderId="12" applyNumberFormat="0"/>
    <xf numFmtId="0" fontId="21" fillId="9" borderId="12" applyNumberFormat="0"/>
    <xf numFmtId="164" fontId="16" fillId="9" borderId="0" applyFont="0" applyFill="0" applyBorder="0" applyAlignment="0" applyProtection="0"/>
    <xf numFmtId="165" fontId="16" fillId="9" borderId="0" applyFont="0" applyFill="0" applyBorder="0" applyAlignment="0"/>
    <xf numFmtId="0" fontId="1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5" fillId="33" borderId="0" applyNumberFormat="0" applyBorder="0" applyAlignment="0" applyProtection="0"/>
    <xf numFmtId="167" fontId="21" fillId="0" borderId="9" applyNumberFormat="0"/>
    <xf numFmtId="0" fontId="23" fillId="34" borderId="12" applyNumberFormat="0">
      <alignment horizontal="center"/>
    </xf>
    <xf numFmtId="169" fontId="20" fillId="0" borderId="10" applyFill="0" applyAlignment="0"/>
    <xf numFmtId="169" fontId="20" fillId="0" borderId="11" applyNumberFormat="0" applyFill="0"/>
    <xf numFmtId="43" fontId="22" fillId="36" borderId="12" applyNumberFormat="0" applyAlignment="0"/>
    <xf numFmtId="15" fontId="1" fillId="0" borderId="0" applyFont="0" applyFill="0" applyBorder="0">
      <alignment horizontal="right"/>
    </xf>
    <xf numFmtId="0" fontId="25" fillId="9" borderId="0" applyNumberFormat="0" applyFill="0" applyBorder="0">
      <alignment horizontal="left"/>
    </xf>
    <xf numFmtId="0" fontId="19" fillId="0" borderId="0" applyNumberFormat="0" applyFill="0" applyBorder="0" applyAlignment="0" applyProtection="0"/>
    <xf numFmtId="0" fontId="24" fillId="34" borderId="12" applyNumberFormat="0"/>
    <xf numFmtId="0" fontId="20" fillId="0" borderId="13" applyNumberFormat="0" applyFill="0" applyAlignment="0"/>
    <xf numFmtId="0" fontId="31" fillId="9" borderId="0" applyFill="0" applyBorder="0">
      <alignment horizontal="left"/>
    </xf>
    <xf numFmtId="9" fontId="20" fillId="0" borderId="0" applyFont="0" applyFill="0" applyBorder="0" applyAlignment="0" applyProtection="0"/>
  </cellStyleXfs>
  <cellXfs count="46">
    <xf numFmtId="170" fontId="0" fillId="0" borderId="0" xfId="0"/>
    <xf numFmtId="170" fontId="0" fillId="0" borderId="0" xfId="0"/>
    <xf numFmtId="170" fontId="26" fillId="0" borderId="0" xfId="0" applyFont="1"/>
    <xf numFmtId="170" fontId="0" fillId="0" borderId="0" xfId="0" applyBorder="1"/>
    <xf numFmtId="15" fontId="23" fillId="34" borderId="12" xfId="54" applyNumberFormat="1">
      <alignment horizontal="center"/>
    </xf>
    <xf numFmtId="170" fontId="25" fillId="0" borderId="0" xfId="59" applyNumberFormat="1" applyFill="1">
      <alignment horizontal="left"/>
    </xf>
    <xf numFmtId="170" fontId="23" fillId="34" borderId="12" xfId="54" applyNumberFormat="1">
      <alignment horizontal="center"/>
    </xf>
    <xf numFmtId="167" fontId="23" fillId="34" borderId="12" xfId="54" applyNumberFormat="1">
      <alignment horizontal="center"/>
    </xf>
    <xf numFmtId="167" fontId="27" fillId="37" borderId="12" xfId="25" applyNumberFormat="1"/>
    <xf numFmtId="170" fontId="0" fillId="0" borderId="0" xfId="0" applyFill="1" applyBorder="1"/>
    <xf numFmtId="10" fontId="29" fillId="35" borderId="12" xfId="24" applyNumberFormat="1"/>
    <xf numFmtId="0" fontId="31" fillId="0" borderId="0" xfId="63" applyFill="1">
      <alignment horizontal="left"/>
    </xf>
    <xf numFmtId="10" fontId="21" fillId="9" borderId="12" xfId="26" applyNumberFormat="1"/>
    <xf numFmtId="170" fontId="22" fillId="36" borderId="12" xfId="57" applyNumberFormat="1"/>
    <xf numFmtId="171" fontId="29" fillId="35" borderId="12" xfId="24" applyNumberFormat="1"/>
    <xf numFmtId="172" fontId="0" fillId="0" borderId="0" xfId="0" applyNumberFormat="1"/>
    <xf numFmtId="173" fontId="27" fillId="37" borderId="12" xfId="25" applyNumberFormat="1"/>
    <xf numFmtId="167" fontId="0" fillId="0" borderId="0" xfId="0" applyNumberFormat="1"/>
    <xf numFmtId="0" fontId="21" fillId="0" borderId="0" xfId="63" applyFont="1" applyFill="1">
      <alignment horizontal="left"/>
    </xf>
    <xf numFmtId="172" fontId="21" fillId="9" borderId="12" xfId="1" applyNumberFormat="1" applyFont="1" applyFill="1" applyBorder="1"/>
    <xf numFmtId="172" fontId="21" fillId="9" borderId="12" xfId="26" applyNumberFormat="1"/>
    <xf numFmtId="10" fontId="29" fillId="35" borderId="12" xfId="24" applyNumberFormat="1" applyAlignment="1">
      <alignment horizontal="center"/>
    </xf>
    <xf numFmtId="10" fontId="0" fillId="0" borderId="14" xfId="0" applyNumberFormat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170" fontId="23" fillId="0" borderId="0" xfId="0" applyFont="1"/>
    <xf numFmtId="171" fontId="0" fillId="37" borderId="16" xfId="0" applyNumberFormat="1" applyFill="1" applyBorder="1"/>
    <xf numFmtId="171" fontId="0" fillId="37" borderId="17" xfId="0" applyNumberFormat="1" applyFill="1" applyBorder="1"/>
    <xf numFmtId="170" fontId="28" fillId="0" borderId="0" xfId="22" applyNumberFormat="1"/>
    <xf numFmtId="170" fontId="23" fillId="34" borderId="12" xfId="54" quotePrefix="1" applyNumberFormat="1">
      <alignment horizontal="center"/>
    </xf>
    <xf numFmtId="171" fontId="21" fillId="9" borderId="12" xfId="26" applyNumberFormat="1"/>
    <xf numFmtId="171" fontId="27" fillId="37" borderId="12" xfId="25" applyNumberFormat="1"/>
    <xf numFmtId="172" fontId="27" fillId="37" borderId="12" xfId="25" applyNumberFormat="1"/>
    <xf numFmtId="171" fontId="0" fillId="0" borderId="0" xfId="0" applyNumberFormat="1"/>
    <xf numFmtId="167" fontId="23" fillId="34" borderId="12" xfId="54" quotePrefix="1" applyNumberFormat="1">
      <alignment horizontal="center"/>
    </xf>
    <xf numFmtId="171" fontId="21" fillId="9" borderId="12" xfId="26" applyNumberFormat="1" applyAlignment="1">
      <alignment horizontal="center"/>
    </xf>
    <xf numFmtId="9" fontId="29" fillId="35" borderId="12" xfId="24" applyNumberFormat="1"/>
    <xf numFmtId="174" fontId="21" fillId="9" borderId="12" xfId="26" applyNumberFormat="1"/>
    <xf numFmtId="10" fontId="21" fillId="9" borderId="12" xfId="26" applyNumberFormat="1" applyAlignment="1">
      <alignment horizontal="center"/>
    </xf>
    <xf numFmtId="10" fontId="21" fillId="9" borderId="12" xfId="64" applyNumberFormat="1" applyFont="1" applyFill="1" applyBorder="1"/>
    <xf numFmtId="172" fontId="21" fillId="9" borderId="12" xfId="26" applyNumberFormat="1" applyAlignment="1">
      <alignment horizontal="center"/>
    </xf>
    <xf numFmtId="170" fontId="32" fillId="0" borderId="0" xfId="0" applyFont="1"/>
    <xf numFmtId="170" fontId="28" fillId="0" borderId="0" xfId="22" applyNumberFormat="1" applyFill="1"/>
    <xf numFmtId="10" fontId="0" fillId="0" borderId="0" xfId="0" applyNumberFormat="1"/>
    <xf numFmtId="175" fontId="28" fillId="0" borderId="0" xfId="22" applyNumberFormat="1"/>
    <xf numFmtId="171" fontId="29" fillId="35" borderId="18" xfId="24" applyNumberFormat="1" applyBorder="1" applyAlignment="1">
      <alignment horizontal="left"/>
    </xf>
    <xf numFmtId="171" fontId="29" fillId="35" borderId="19" xfId="24" applyNumberFormat="1" applyBorder="1" applyAlignment="1">
      <alignment horizontal="left"/>
    </xf>
  </cellXfs>
  <cellStyles count="65">
    <cellStyle name="20% - Accent1" xfId="30" builtinId="30" hidden="1"/>
    <cellStyle name="20% - Accent2" xfId="34" builtinId="34" hidden="1"/>
    <cellStyle name="20% - Accent3" xfId="38" builtinId="38" hidden="1"/>
    <cellStyle name="20% - Accent4" xfId="42" builtinId="42" hidden="1"/>
    <cellStyle name="20% - Accent5" xfId="46" builtinId="46" hidden="1"/>
    <cellStyle name="20% - Accent6" xfId="50" builtinId="50" hidden="1"/>
    <cellStyle name="40% - Accent1" xfId="31" builtinId="31" hidden="1"/>
    <cellStyle name="40% - Accent2" xfId="35" builtinId="35" hidden="1"/>
    <cellStyle name="40% - Accent3" xfId="39" builtinId="39" hidden="1"/>
    <cellStyle name="40% - Accent4" xfId="43" builtinId="43" hidden="1"/>
    <cellStyle name="40% - Accent5" xfId="47" builtinId="47" hidden="1"/>
    <cellStyle name="40% - Accent6" xfId="51" builtinId="51" hidden="1"/>
    <cellStyle name="60% - Accent1" xfId="32" builtinId="32" hidden="1"/>
    <cellStyle name="60% - Accent2" xfId="36" builtinId="36" hidden="1"/>
    <cellStyle name="60% - Accent3" xfId="40" builtinId="40" hidden="1"/>
    <cellStyle name="60% - Accent4" xfId="44" builtinId="44" hidden="1"/>
    <cellStyle name="60% - Accent5" xfId="48" builtinId="48" hidden="1"/>
    <cellStyle name="60% - Accent6" xfId="52" builtinId="52" hidden="1"/>
    <cellStyle name="Accent1" xfId="29" builtinId="29" hidden="1"/>
    <cellStyle name="Accent2" xfId="33" builtinId="33" hidden="1"/>
    <cellStyle name="Accent3" xfId="37" builtinId="37" hidden="1"/>
    <cellStyle name="Accent4" xfId="41" builtinId="41" hidden="1"/>
    <cellStyle name="Accent5" xfId="45" builtinId="45" hidden="1"/>
    <cellStyle name="Accent6" xfId="49" builtinId="49" hidden="1"/>
    <cellStyle name="Bad" xfId="10" builtinId="27" hidden="1"/>
    <cellStyle name="Calculation" xfId="14" builtinId="22" hidden="1"/>
    <cellStyle name="Cell.Input" xfId="24"/>
    <cellStyle name="Cell.Memo" xfId="22"/>
    <cellStyle name="Cell.System" xfId="25"/>
    <cellStyle name="Cell.Void" xfId="57"/>
    <cellStyle name="Check Cell" xfId="16" builtinId="23" hidden="1"/>
    <cellStyle name="Comma" xfId="1" builtinId="3" customBuiltin="1"/>
    <cellStyle name="Comma [0]" xfId="2" builtinId="6" customBuiltin="1"/>
    <cellStyle name="Comma 1dp" xfId="28"/>
    <cellStyle name="Comma 2dp" xfId="27"/>
    <cellStyle name="Currency" xfId="3" builtinId="4" hidden="1"/>
    <cellStyle name="Currency [0]" xfId="4" builtinId="7" hidden="1"/>
    <cellStyle name="Date" xfId="58"/>
    <cellStyle name="Explanatory Text" xfId="19" builtinId="53" hidden="1"/>
    <cellStyle name="Good" xfId="9" builtinId="26" hidden="1"/>
    <cellStyle name="Header.1" xfId="59"/>
    <cellStyle name="Header.2" xfId="63"/>
    <cellStyle name="Header.Sheet" xfId="21"/>
    <cellStyle name="Header.Table" xfId="54"/>
    <cellStyle name="Heading 1" xfId="6" builtinId="16" hidden="1"/>
    <cellStyle name="Heading 2" xfId="7" builtinId="17" hidden="1"/>
    <cellStyle name="Heading 3" xfId="8" builtinId="18" hidden="1" customBuiltin="1"/>
    <cellStyle name="Heading 4" xfId="60" builtinId="19" hidden="1"/>
    <cellStyle name="Input" xfId="12" builtinId="20" hidden="1"/>
    <cellStyle name="Line.Balance" xfId="53"/>
    <cellStyle name="Line.Calc" xfId="26"/>
    <cellStyle name="Line.Total.Multi" xfId="55"/>
    <cellStyle name="Line.Total.Simple" xfId="56"/>
    <cellStyle name="Linked Cell" xfId="15" builtinId="24" hidden="1"/>
    <cellStyle name="Neutral" xfId="11" builtinId="28" hidden="1"/>
    <cellStyle name="Normal" xfId="0" builtinId="0" customBuiltin="1"/>
    <cellStyle name="Note" xfId="18" builtinId="10" hidden="1"/>
    <cellStyle name="Note" xfId="23" builtinId="10" hidden="1" customBuiltin="1"/>
    <cellStyle name="Output" xfId="13" builtinId="21" hidden="1"/>
    <cellStyle name="Percent" xfId="64" builtinId="5"/>
    <cellStyle name="TabMinor" xfId="61"/>
    <cellStyle name="TabMinorLine" xfId="62"/>
    <cellStyle name="Title" xfId="5" builtinId="15" hidden="1" customBuiltin="1"/>
    <cellStyle name="Total" xfId="20" builtinId="25" hidden="1"/>
    <cellStyle name="Warning Text" xfId="17" builtinId="11" hidden="1"/>
  </cellStyles>
  <dxfs count="1">
    <dxf>
      <font>
        <color theme="8"/>
      </font>
    </dxf>
  </dxfs>
  <tableStyles count="0" defaultTableStyle="TableStyleMedium2" defaultPivotStyle="PivotStyleLight16"/>
  <colors>
    <mruColors>
      <color rgb="FFFF6D6D"/>
      <color rgb="FFFF1D1D"/>
      <color rgb="FFFFA3A3"/>
      <color rgb="FFFFBDBD"/>
      <color rgb="FFFFFFA7"/>
      <color rgb="FFFFFF99"/>
      <color rgb="FFF79C57"/>
      <color rgb="FFFFD1D1"/>
      <color rgb="FFF9F9F9"/>
      <color rgb="FFF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Where</a:t>
            </a:r>
            <a:r>
              <a:rPr lang="en-AU" baseline="0"/>
              <a:t> does NPV(r) cross X-axis </a:t>
            </a:r>
            <a:endParaRPr lang="en-AU"/>
          </a:p>
        </c:rich>
      </c:tx>
      <c:layout>
        <c:manualLayout>
          <c:xMode val="edge"/>
          <c:yMode val="edge"/>
          <c:x val="5.4933773634726631E-2"/>
          <c:y val="1.650165016501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'NPV and IRR'!$E$85:$E$107</c:f>
              <c:numCache>
                <c:formatCode>0.00%</c:formatCode>
                <c:ptCount val="23"/>
                <c:pt idx="0">
                  <c:v>0.18</c:v>
                </c:pt>
                <c:pt idx="1">
                  <c:v>0.185</c:v>
                </c:pt>
                <c:pt idx="2">
                  <c:v>0.19</c:v>
                </c:pt>
                <c:pt idx="3">
                  <c:v>0.19500000000000001</c:v>
                </c:pt>
                <c:pt idx="4">
                  <c:v>0.2</c:v>
                </c:pt>
                <c:pt idx="5">
                  <c:v>0.20500000000000002</c:v>
                </c:pt>
                <c:pt idx="6">
                  <c:v>0.21000000000000002</c:v>
                </c:pt>
                <c:pt idx="7">
                  <c:v>0.21500000000000002</c:v>
                </c:pt>
                <c:pt idx="8">
                  <c:v>0.22000000000000003</c:v>
                </c:pt>
                <c:pt idx="9">
                  <c:v>0.22500000000000003</c:v>
                </c:pt>
                <c:pt idx="10">
                  <c:v>0.23000000000000004</c:v>
                </c:pt>
                <c:pt idx="11">
                  <c:v>0.23500000000000004</c:v>
                </c:pt>
                <c:pt idx="12">
                  <c:v>0.24000000000000005</c:v>
                </c:pt>
                <c:pt idx="13">
                  <c:v>0.24500000000000005</c:v>
                </c:pt>
                <c:pt idx="14">
                  <c:v>0.25000000000000006</c:v>
                </c:pt>
                <c:pt idx="15">
                  <c:v>0.25500000000000006</c:v>
                </c:pt>
                <c:pt idx="16">
                  <c:v>0.26000000000000006</c:v>
                </c:pt>
                <c:pt idx="17">
                  <c:v>0.26500000000000007</c:v>
                </c:pt>
                <c:pt idx="18">
                  <c:v>0.27000000000000007</c:v>
                </c:pt>
                <c:pt idx="19">
                  <c:v>0.27500000000000008</c:v>
                </c:pt>
                <c:pt idx="20">
                  <c:v>0.28000000000000008</c:v>
                </c:pt>
                <c:pt idx="21">
                  <c:v>0.28500000000000009</c:v>
                </c:pt>
                <c:pt idx="22">
                  <c:v>0.29000000000000009</c:v>
                </c:pt>
              </c:numCache>
            </c:numRef>
          </c:cat>
          <c:val>
            <c:numRef>
              <c:f>'NPV and IRR'!$F$85:$F$107</c:f>
              <c:numCache>
                <c:formatCode>#,##0.00_);\(#,##0.00\);"- "</c:formatCode>
                <c:ptCount val="23"/>
                <c:pt idx="0">
                  <c:v>0.22057277478274862</c:v>
                </c:pt>
                <c:pt idx="1">
                  <c:v>0.19773715461790342</c:v>
                </c:pt>
                <c:pt idx="2">
                  <c:v>0.1753893978357226</c:v>
                </c:pt>
                <c:pt idx="3">
                  <c:v>0.15351794521583162</c:v>
                </c:pt>
                <c:pt idx="4">
                  <c:v>0.1321115545850361</c:v>
                </c:pt>
                <c:pt idx="5">
                  <c:v>0.11115929085368925</c:v>
                </c:pt>
                <c:pt idx="6">
                  <c:v>9.0650516405538895E-2</c:v>
                </c:pt>
                <c:pt idx="7">
                  <c:v>7.0574881827046854E-2</c:v>
                </c:pt>
                <c:pt idx="8">
                  <c:v>5.0922316962829228E-2</c:v>
                </c:pt>
                <c:pt idx="9">
                  <c:v>3.1683022284450413E-2</c:v>
                </c:pt>
                <c:pt idx="10">
                  <c:v>1.2847460560343138E-2</c:v>
                </c:pt>
                <c:pt idx="11">
                  <c:v>-5.5936511848656556E-3</c:v>
                </c:pt>
                <c:pt idx="12">
                  <c:v>-2.3649349432793954E-2</c:v>
                </c:pt>
                <c:pt idx="13">
                  <c:v>-4.1328431666267762E-2</c:v>
                </c:pt>
                <c:pt idx="14">
                  <c:v>-5.8639463607024545E-2</c:v>
                </c:pt>
                <c:pt idx="15">
                  <c:v>-7.559078620606452E-2</c:v>
                </c:pt>
                <c:pt idx="16">
                  <c:v>-9.2190522395979579E-2</c:v>
                </c:pt>
                <c:pt idx="17">
                  <c:v>-0.10844658361437587</c:v>
                </c:pt>
                <c:pt idx="18">
                  <c:v>-0.12436667610696184</c:v>
                </c:pt>
                <c:pt idx="19">
                  <c:v>-0.13995830701863843</c:v>
                </c:pt>
                <c:pt idx="20">
                  <c:v>-0.15522879028050285</c:v>
                </c:pt>
                <c:pt idx="21">
                  <c:v>-0.1701852523004187</c:v>
                </c:pt>
                <c:pt idx="22">
                  <c:v>-0.18483463746441509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E61-9CAF-8B660D09B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929296"/>
        <c:axId val="643661208"/>
      </c:lineChart>
      <c:catAx>
        <c:axId val="482929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661208"/>
        <c:crosses val="autoZero"/>
        <c:auto val="1"/>
        <c:lblAlgn val="ctr"/>
        <c:lblOffset val="100"/>
        <c:noMultiLvlLbl val="0"/>
      </c:catAx>
      <c:valAx>
        <c:axId val="64366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.00_);\(#,##0.00\);&quot;- &quot;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929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hyperlink" Target="http://www.VectorFinancialModelling.com.au" TargetMode="External"/><Relationship Id="rId5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0</xdr:colOff>
      <xdr:row>58</xdr:row>
      <xdr:rowOff>0</xdr:rowOff>
    </xdr:to>
    <xdr:pic>
      <xdr:nvPicPr>
        <xdr:cNvPr id="7" name="Picture 6" descr="Contents43x29cm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26"/>
        <a:stretch/>
      </xdr:blipFill>
      <xdr:spPr>
        <a:xfrm>
          <a:off x="0" y="0"/>
          <a:ext cx="17526000" cy="9575800"/>
        </a:xfrm>
        <a:prstGeom prst="rect">
          <a:avLst/>
        </a:prstGeom>
      </xdr:spPr>
    </xdr:pic>
    <xdr:clientData/>
  </xdr:twoCellAnchor>
  <xdr:twoCellAnchor>
    <xdr:from>
      <xdr:col>5</xdr:col>
      <xdr:colOff>188267</xdr:colOff>
      <xdr:row>6</xdr:row>
      <xdr:rowOff>17929</xdr:rowOff>
    </xdr:from>
    <xdr:to>
      <xdr:col>21</xdr:col>
      <xdr:colOff>439278</xdr:colOff>
      <xdr:row>10</xdr:row>
      <xdr:rowOff>2711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657711" y="985548"/>
          <a:ext cx="8153234" cy="6298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4000" b="0">
              <a:solidFill>
                <a:schemeClr val="bg1"/>
              </a:solidFill>
            </a:rPr>
            <a:t>Advanced financial modelling</a:t>
          </a:r>
          <a:r>
            <a:rPr lang="en-AU" sz="4000" b="0" baseline="0">
              <a:solidFill>
                <a:schemeClr val="bg1"/>
              </a:solidFill>
            </a:rPr>
            <a:t>.</a:t>
          </a:r>
          <a:endParaRPr lang="en-AU" sz="4000" b="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179303</xdr:colOff>
      <xdr:row>11</xdr:row>
      <xdr:rowOff>107577</xdr:rowOff>
    </xdr:from>
    <xdr:to>
      <xdr:col>24</xdr:col>
      <xdr:colOff>252413</xdr:colOff>
      <xdr:row>15</xdr:row>
      <xdr:rowOff>17929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727241" y="1941140"/>
          <a:ext cx="9755272" cy="577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800">
              <a:solidFill>
                <a:schemeClr val="bg1"/>
              </a:solidFill>
            </a:rPr>
            <a:t>Calculating an NPV</a:t>
          </a:r>
        </a:p>
      </xdr:txBody>
    </xdr:sp>
    <xdr:clientData/>
  </xdr:twoCellAnchor>
  <xdr:twoCellAnchor>
    <xdr:from>
      <xdr:col>5</xdr:col>
      <xdr:colOff>209614</xdr:colOff>
      <xdr:row>18</xdr:row>
      <xdr:rowOff>319</xdr:rowOff>
    </xdr:from>
    <xdr:to>
      <xdr:col>14</xdr:col>
      <xdr:colOff>353049</xdr:colOff>
      <xdr:row>21</xdr:row>
      <xdr:rowOff>80682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2664511" y="2946195"/>
          <a:ext cx="4562249" cy="571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2400" u="none">
              <a:solidFill>
                <a:schemeClr val="bg1"/>
              </a:solidFill>
            </a:rPr>
            <a:t>Key lines and required extracts</a:t>
          </a:r>
        </a:p>
      </xdr:txBody>
    </xdr:sp>
    <xdr:clientData/>
  </xdr:twoCellAnchor>
  <xdr:twoCellAnchor>
    <xdr:from>
      <xdr:col>5</xdr:col>
      <xdr:colOff>215164</xdr:colOff>
      <xdr:row>21</xdr:row>
      <xdr:rowOff>81800</xdr:rowOff>
    </xdr:from>
    <xdr:to>
      <xdr:col>16</xdr:col>
      <xdr:colOff>349607</xdr:colOff>
      <xdr:row>39</xdr:row>
      <xdr:rowOff>145142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2786914" y="3582238"/>
          <a:ext cx="5792293" cy="3063717"/>
          <a:chOff x="2483224" y="4554071"/>
          <a:chExt cx="4950317" cy="1882828"/>
        </a:xfrm>
      </xdr:grpSpPr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 txBox="1"/>
        </xdr:nvSpPr>
        <xdr:spPr>
          <a:xfrm>
            <a:off x="2483224" y="4554071"/>
            <a:ext cx="4903694" cy="35456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2400">
                <a:solidFill>
                  <a:schemeClr val="bg1"/>
                </a:solidFill>
              </a:rPr>
              <a:t>The NPV and IRR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>
          <a:xfrm>
            <a:off x="2529847" y="4944200"/>
            <a:ext cx="4903694" cy="14926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800" b="0">
                <a:solidFill>
                  <a:schemeClr val="bg1"/>
                </a:solidFill>
              </a:rPr>
              <a:t>- Annual example</a:t>
            </a:r>
            <a:br>
              <a:rPr lang="en-AU" sz="1800" b="0">
                <a:solidFill>
                  <a:schemeClr val="bg1"/>
                </a:solidFill>
              </a:rPr>
            </a:br>
            <a:r>
              <a:rPr lang="en-AU" sz="1800" b="0">
                <a:solidFill>
                  <a:schemeClr val="bg1"/>
                </a:solidFill>
              </a:rPr>
              <a:t>- NPV() and IRR()</a:t>
            </a:r>
          </a:p>
          <a:p>
            <a:r>
              <a:rPr lang="en-AU" sz="1800" b="0">
                <a:solidFill>
                  <a:schemeClr val="bg1"/>
                </a:solidFill>
              </a:rPr>
              <a:t>- XNPV() and XIRR()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Estimating the IRR</a:t>
            </a:r>
          </a:p>
          <a:p>
            <a:r>
              <a:rPr lang="en-AU" sz="1800" b="0" baseline="0">
                <a:solidFill>
                  <a:schemeClr val="bg1"/>
                </a:solidFill>
              </a:rPr>
              <a:t>- Plotting NPV vs discount rate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204786</xdr:colOff>
      <xdr:row>0</xdr:row>
      <xdr:rowOff>39292</xdr:rowOff>
    </xdr:from>
    <xdr:to>
      <xdr:col>8</xdr:col>
      <xdr:colOff>11934</xdr:colOff>
      <xdr:row>5</xdr:row>
      <xdr:rowOff>14111</xdr:rowOff>
    </xdr:to>
    <xdr:pic>
      <xdr:nvPicPr>
        <xdr:cNvPr id="2" name="Picture 1" descr="Vector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8" t="33129" r="8171" b="40491"/>
        <a:stretch/>
      </xdr:blipFill>
      <xdr:spPr>
        <a:xfrm>
          <a:off x="600727" y="39292"/>
          <a:ext cx="3000097" cy="796584"/>
        </a:xfrm>
        <a:prstGeom prst="rect">
          <a:avLst/>
        </a:prstGeom>
      </xdr:spPr>
    </xdr:pic>
    <xdr:clientData/>
  </xdr:twoCellAnchor>
  <xdr:twoCellAnchor editAs="oneCell">
    <xdr:from>
      <xdr:col>26</xdr:col>
      <xdr:colOff>238651</xdr:colOff>
      <xdr:row>1</xdr:row>
      <xdr:rowOff>26822</xdr:rowOff>
    </xdr:from>
    <xdr:to>
      <xdr:col>29</xdr:col>
      <xdr:colOff>49973</xdr:colOff>
      <xdr:row>4</xdr:row>
      <xdr:rowOff>24175</xdr:rowOff>
    </xdr:to>
    <xdr:pic>
      <xdr:nvPicPr>
        <xdr:cNvPr id="8" name="Picture 7" descr="Alpha_Logo_CMYK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DAE62B-BA11-4594-A011-F9F1C6FAB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96" t="35599" r="12944" b="35275"/>
        <a:stretch/>
      </xdr:blipFill>
      <xdr:spPr>
        <a:xfrm>
          <a:off x="14258347" y="192474"/>
          <a:ext cx="1536628" cy="494310"/>
        </a:xfrm>
        <a:prstGeom prst="rect">
          <a:avLst/>
        </a:prstGeom>
      </xdr:spPr>
    </xdr:pic>
    <xdr:clientData/>
  </xdr:twoCellAnchor>
  <xdr:twoCellAnchor>
    <xdr:from>
      <xdr:col>2</xdr:col>
      <xdr:colOff>239406</xdr:colOff>
      <xdr:row>4</xdr:row>
      <xdr:rowOff>148971</xdr:rowOff>
    </xdr:from>
    <xdr:to>
      <xdr:col>12</xdr:col>
      <xdr:colOff>581728</xdr:colOff>
      <xdr:row>8</xdr:row>
      <xdr:rowOff>33130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0040EF-98B4-499F-9C92-84D145E6783F}"/>
            </a:ext>
          </a:extLst>
        </xdr:cNvPr>
        <xdr:cNvSpPr txBox="1"/>
      </xdr:nvSpPr>
      <xdr:spPr>
        <a:xfrm>
          <a:off x="631449" y="811580"/>
          <a:ext cx="6355496" cy="54676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AU" sz="2400" b="0">
              <a:solidFill>
                <a:schemeClr val="accent2"/>
              </a:solidFill>
              <a:latin typeface="+mj-lt"/>
              <a:cs typeface="Calibri" panose="020F0502020204030204" pitchFamily="34" charset="0"/>
            </a:rPr>
            <a:t>Calculating an NPV and IRR</a:t>
          </a:r>
          <a:endParaRPr lang="en-AU" sz="2400" b="0">
            <a:solidFill>
              <a:schemeClr val="accent2"/>
            </a:solidFill>
            <a:latin typeface="+mj-lt"/>
            <a:cs typeface="Calibri Light" panose="020F0302020204030204" pitchFamily="34" charset="0"/>
          </a:endParaRPr>
        </a:p>
      </xdr:txBody>
    </xdr:sp>
    <xdr:clientData/>
  </xdr:twoCellAnchor>
  <xdr:twoCellAnchor>
    <xdr:from>
      <xdr:col>6</xdr:col>
      <xdr:colOff>52391</xdr:colOff>
      <xdr:row>9</xdr:row>
      <xdr:rowOff>53402</xdr:rowOff>
    </xdr:from>
    <xdr:to>
      <xdr:col>13</xdr:col>
      <xdr:colOff>14979</xdr:colOff>
      <xdr:row>13</xdr:row>
      <xdr:rowOff>23812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D2388DF0-7A88-4ABC-BE4E-D12963306C7D}"/>
            </a:ext>
          </a:extLst>
        </xdr:cNvPr>
        <xdr:cNvGrpSpPr/>
      </xdr:nvGrpSpPr>
      <xdr:grpSpPr>
        <a:xfrm>
          <a:off x="2814641" y="1553590"/>
          <a:ext cx="3445167" cy="678832"/>
          <a:chOff x="518783" y="10086438"/>
          <a:chExt cx="2540316" cy="1179448"/>
        </a:xfrm>
      </xdr:grpSpPr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FC442ED3-38D6-4B36-97D2-BCB21AE0061B}"/>
              </a:ext>
            </a:extLst>
          </xdr:cNvPr>
          <xdr:cNvGrpSpPr/>
        </xdr:nvGrpSpPr>
        <xdr:grpSpPr>
          <a:xfrm>
            <a:off x="518783" y="10086438"/>
            <a:ext cx="2540316" cy="1179448"/>
            <a:chOff x="5594952" y="1336172"/>
            <a:chExt cx="2594914" cy="1089321"/>
          </a:xfrm>
        </xdr:grpSpPr>
        <xdr:grpSp>
          <xdr:nvGrpSpPr>
            <xdr:cNvPr id="59" name="Group 58">
              <a:extLst>
                <a:ext uri="{FF2B5EF4-FFF2-40B4-BE49-F238E27FC236}">
                  <a16:creationId xmlns:a16="http://schemas.microsoft.com/office/drawing/2014/main" id="{08AC7A36-3442-4B0E-9757-F3BC95BD998A}"/>
                </a:ext>
              </a:extLst>
            </xdr:cNvPr>
            <xdr:cNvGrpSpPr/>
          </xdr:nvGrpSpPr>
          <xdr:grpSpPr>
            <a:xfrm>
              <a:off x="5594952" y="1336172"/>
              <a:ext cx="2594914" cy="1087620"/>
              <a:chOff x="3603287" y="3396291"/>
              <a:chExt cx="2555510" cy="1278582"/>
            </a:xfrm>
          </xdr:grpSpPr>
          <xdr:sp macro="" textlink="">
            <xdr:nvSpPr>
              <xdr:cNvPr id="62" name="Rectangle 61">
                <a:extLst>
                  <a:ext uri="{FF2B5EF4-FFF2-40B4-BE49-F238E27FC236}">
                    <a16:creationId xmlns:a16="http://schemas.microsoft.com/office/drawing/2014/main" id="{E4C6DC1F-5B2A-4F2C-A3B3-7CCF0080D660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63" name="Straight Connector 62">
                <a:extLst>
                  <a:ext uri="{FF2B5EF4-FFF2-40B4-BE49-F238E27FC236}">
                    <a16:creationId xmlns:a16="http://schemas.microsoft.com/office/drawing/2014/main" id="{809621DB-BFE4-46F7-B77C-50C248D72D80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8" name="Isosceles Triangle 87">
                <a:extLst>
                  <a:ext uri="{FF2B5EF4-FFF2-40B4-BE49-F238E27FC236}">
                    <a16:creationId xmlns:a16="http://schemas.microsoft.com/office/drawing/2014/main" id="{7B82D711-00FE-4A28-B184-CB68CB0F8A6C}"/>
                  </a:ext>
                </a:extLst>
              </xdr:cNvPr>
              <xdr:cNvSpPr/>
            </xdr:nvSpPr>
            <xdr:spPr>
              <a:xfrm rot="16200000">
                <a:off x="3557969" y="3935031"/>
                <a:ext cx="182057" cy="9142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61" name="Rectangle 60">
              <a:extLst>
                <a:ext uri="{FF2B5EF4-FFF2-40B4-BE49-F238E27FC236}">
                  <a16:creationId xmlns:a16="http://schemas.microsoft.com/office/drawing/2014/main" id="{8E54BDF7-8690-4265-A4C5-C96B46CE7098}"/>
                </a:ext>
              </a:extLst>
            </xdr:cNvPr>
            <xdr:cNvSpPr/>
          </xdr:nvSpPr>
          <xdr:spPr>
            <a:xfrm>
              <a:off x="5797834" y="1352315"/>
              <a:ext cx="2121708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Styled as Cell.System these values are not dynamic and for the benefit of transparancy / best practice.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58" name="Picture 57">
            <a:extLst>
              <a:ext uri="{FF2B5EF4-FFF2-40B4-BE49-F238E27FC236}">
                <a16:creationId xmlns:a16="http://schemas.microsoft.com/office/drawing/2014/main" id="{747DB600-DBBA-4776-A7A3-34E1123DD963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3992" y="10254329"/>
            <a:ext cx="215986" cy="410568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121964</xdr:colOff>
      <xdr:row>81</xdr:row>
      <xdr:rowOff>167746</xdr:rowOff>
    </xdr:from>
    <xdr:to>
      <xdr:col>19</xdr:col>
      <xdr:colOff>568670</xdr:colOff>
      <xdr:row>106</xdr:row>
      <xdr:rowOff>144318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2CDC211-F33C-4361-908F-5FEB833D42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388349</xdr:colOff>
      <xdr:row>88</xdr:row>
      <xdr:rowOff>165098</xdr:rowOff>
    </xdr:from>
    <xdr:to>
      <xdr:col>19</xdr:col>
      <xdr:colOff>346606</xdr:colOff>
      <xdr:row>95</xdr:row>
      <xdr:rowOff>8964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88F6BD46-E02D-4B98-B813-05963744468D}"/>
            </a:ext>
          </a:extLst>
        </xdr:cNvPr>
        <xdr:cNvGrpSpPr/>
      </xdr:nvGrpSpPr>
      <xdr:grpSpPr>
        <a:xfrm>
          <a:off x="7240397" y="15131254"/>
          <a:ext cx="2994350" cy="1010679"/>
          <a:chOff x="497122" y="10086430"/>
          <a:chExt cx="2561976" cy="1179459"/>
        </a:xfrm>
      </xdr:grpSpPr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527CA68-748C-4365-B4A2-2BCD1C135351}"/>
              </a:ext>
            </a:extLst>
          </xdr:cNvPr>
          <xdr:cNvGrpSpPr/>
        </xdr:nvGrpSpPr>
        <xdr:grpSpPr>
          <a:xfrm>
            <a:off x="497122" y="10086430"/>
            <a:ext cx="2561976" cy="1179459"/>
            <a:chOff x="5572826" y="1336163"/>
            <a:chExt cx="2617040" cy="1089330"/>
          </a:xfrm>
        </xdr:grpSpPr>
        <xdr:grpSp>
          <xdr:nvGrpSpPr>
            <xdr:cNvPr id="17" name="Group 16">
              <a:extLst>
                <a:ext uri="{FF2B5EF4-FFF2-40B4-BE49-F238E27FC236}">
                  <a16:creationId xmlns:a16="http://schemas.microsoft.com/office/drawing/2014/main" id="{EC2E161E-8BBE-421B-9D9F-6BCB8421E47F}"/>
                </a:ext>
              </a:extLst>
            </xdr:cNvPr>
            <xdr:cNvGrpSpPr/>
          </xdr:nvGrpSpPr>
          <xdr:grpSpPr>
            <a:xfrm>
              <a:off x="5572826" y="1336163"/>
              <a:ext cx="2617040" cy="1087616"/>
              <a:chOff x="3581497" y="3396291"/>
              <a:chExt cx="2577300" cy="1278582"/>
            </a:xfrm>
          </xdr:grpSpPr>
          <xdr:sp macro="" textlink="">
            <xdr:nvSpPr>
              <xdr:cNvPr id="19" name="Rectangle 18">
                <a:extLst>
                  <a:ext uri="{FF2B5EF4-FFF2-40B4-BE49-F238E27FC236}">
                    <a16:creationId xmlns:a16="http://schemas.microsoft.com/office/drawing/2014/main" id="{2CDF0FF4-520D-4576-AF57-32414A7BFA86}"/>
                  </a:ext>
                </a:extLst>
              </xdr:cNvPr>
              <xdr:cNvSpPr/>
            </xdr:nvSpPr>
            <xdr:spPr>
              <a:xfrm>
                <a:off x="3772669" y="3399451"/>
                <a:ext cx="2386128" cy="1275422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20" name="Straight Connector 19">
                <a:extLst>
                  <a:ext uri="{FF2B5EF4-FFF2-40B4-BE49-F238E27FC236}">
                    <a16:creationId xmlns:a16="http://schemas.microsoft.com/office/drawing/2014/main" id="{A68CF7C4-8960-45A5-A7AA-325AD49BD33B}"/>
                  </a:ext>
                </a:extLst>
              </xdr:cNvPr>
              <xdr:cNvCxnSpPr/>
            </xdr:nvCxnSpPr>
            <xdr:spPr>
              <a:xfrm flipH="1">
                <a:off x="3759614" y="3396291"/>
                <a:ext cx="2580" cy="1277727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21" name="Isosceles Triangle 20">
                <a:extLst>
                  <a:ext uri="{FF2B5EF4-FFF2-40B4-BE49-F238E27FC236}">
                    <a16:creationId xmlns:a16="http://schemas.microsoft.com/office/drawing/2014/main" id="{AE0BDFDC-8616-412F-8819-2F34266BF7BB}"/>
                  </a:ext>
                </a:extLst>
              </xdr:cNvPr>
              <xdr:cNvSpPr/>
            </xdr:nvSpPr>
            <xdr:spPr>
              <a:xfrm rot="16200000">
                <a:off x="3544101" y="4517517"/>
                <a:ext cx="188004" cy="113212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18" name="Rectangle 17">
              <a:extLst>
                <a:ext uri="{FF2B5EF4-FFF2-40B4-BE49-F238E27FC236}">
                  <a16:creationId xmlns:a16="http://schemas.microsoft.com/office/drawing/2014/main" id="{FC17AD4A-E4C9-4494-B83A-1D2A997F571B}"/>
                </a:ext>
              </a:extLst>
            </xdr:cNvPr>
            <xdr:cNvSpPr/>
          </xdr:nvSpPr>
          <xdr:spPr>
            <a:xfrm>
              <a:off x="5797834" y="1352315"/>
              <a:ext cx="2121708" cy="1073178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IRR is when NPV=0. Plotting NPV at different discount rates and looking for the place it crosses the X-axis shows the IRR. Here it is about 23.25%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6280522E-A9C7-4991-8971-86E397C32DCB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45681" y="10276213"/>
            <a:ext cx="212537" cy="275768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221193</xdr:colOff>
      <xdr:row>93</xdr:row>
      <xdr:rowOff>142193</xdr:rowOff>
    </xdr:from>
    <xdr:to>
      <xdr:col>14</xdr:col>
      <xdr:colOff>221195</xdr:colOff>
      <xdr:row>97</xdr:row>
      <xdr:rowOff>20411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165F08BA-38B2-4149-83BB-440FF7762C8A}"/>
            </a:ext>
          </a:extLst>
        </xdr:cNvPr>
        <xdr:cNvGrpSpPr/>
      </xdr:nvGrpSpPr>
      <xdr:grpSpPr>
        <a:xfrm>
          <a:off x="6466022" y="15941787"/>
          <a:ext cx="607221" cy="544968"/>
          <a:chOff x="7886698" y="16510907"/>
          <a:chExt cx="609602" cy="544966"/>
        </a:xfrm>
      </xdr:grpSpPr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79F09526-FD9F-4101-849F-A27BBD623BF7}"/>
              </a:ext>
            </a:extLst>
          </xdr:cNvPr>
          <xdr:cNvSpPr/>
        </xdr:nvSpPr>
        <xdr:spPr>
          <a:xfrm>
            <a:off x="7886698" y="16510907"/>
            <a:ext cx="609602" cy="544966"/>
          </a:xfrm>
          <a:prstGeom prst="ellipse">
            <a:avLst/>
          </a:prstGeom>
          <a:gradFill flip="none" rotWithShape="1">
            <a:gsLst>
              <a:gs pos="42000">
                <a:schemeClr val="accent5">
                  <a:alpha val="12000"/>
                  <a:lumMod val="12000"/>
                  <a:lumOff val="88000"/>
                </a:schemeClr>
              </a:gs>
              <a:gs pos="75000">
                <a:schemeClr val="accent5">
                  <a:lumMod val="45000"/>
                  <a:lumOff val="55000"/>
                </a:schemeClr>
              </a:gs>
              <a:gs pos="87000">
                <a:schemeClr val="accent5">
                  <a:lumMod val="45000"/>
                  <a:lumOff val="55000"/>
                </a:schemeClr>
              </a:gs>
              <a:gs pos="100000">
                <a:schemeClr val="accent5">
                  <a:lumMod val="30000"/>
                  <a:lumOff val="70000"/>
                </a:schemeClr>
              </a:gs>
            </a:gsLst>
            <a:path path="circle">
              <a:fillToRect l="50000" t="50000" r="50000" b="50000"/>
            </a:path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  <xdr:sp macro="" textlink="">
        <xdr:nvSpPr>
          <xdr:cNvPr id="6" name="Oval 5">
            <a:extLst>
              <a:ext uri="{FF2B5EF4-FFF2-40B4-BE49-F238E27FC236}">
                <a16:creationId xmlns:a16="http://schemas.microsoft.com/office/drawing/2014/main" id="{E6D23867-A136-4911-B53F-7D9D4D4392F6}"/>
              </a:ext>
            </a:extLst>
          </xdr:cNvPr>
          <xdr:cNvSpPr/>
        </xdr:nvSpPr>
        <xdr:spPr>
          <a:xfrm>
            <a:off x="8161563" y="16755156"/>
            <a:ext cx="45719" cy="45719"/>
          </a:xfrm>
          <a:prstGeom prst="ellipse">
            <a:avLst/>
          </a:prstGeom>
          <a:solidFill>
            <a:schemeClr val="accent5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AU" sz="1100"/>
          </a:p>
        </xdr:txBody>
      </xdr:sp>
    </xdr:grpSp>
    <xdr:clientData/>
  </xdr:twoCellAnchor>
  <xdr:twoCellAnchor>
    <xdr:from>
      <xdr:col>6</xdr:col>
      <xdr:colOff>95252</xdr:colOff>
      <xdr:row>14</xdr:row>
      <xdr:rowOff>11908</xdr:rowOff>
    </xdr:from>
    <xdr:to>
      <xdr:col>13</xdr:col>
      <xdr:colOff>47183</xdr:colOff>
      <xdr:row>18</xdr:row>
      <xdr:rowOff>57149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47A100EA-B358-4749-92EE-8A24104276E2}"/>
            </a:ext>
          </a:extLst>
        </xdr:cNvPr>
        <xdr:cNvGrpSpPr/>
      </xdr:nvGrpSpPr>
      <xdr:grpSpPr>
        <a:xfrm>
          <a:off x="2857502" y="2393158"/>
          <a:ext cx="3434510" cy="735804"/>
          <a:chOff x="527995" y="10086438"/>
          <a:chExt cx="2531105" cy="1492805"/>
        </a:xfrm>
      </xdr:grpSpPr>
      <xdr:grpSp>
        <xdr:nvGrpSpPr>
          <xdr:cNvPr id="34" name="Group 33">
            <a:extLst>
              <a:ext uri="{FF2B5EF4-FFF2-40B4-BE49-F238E27FC236}">
                <a16:creationId xmlns:a16="http://schemas.microsoft.com/office/drawing/2014/main" id="{354A11A1-C5CE-40C8-9C39-AE88B0371575}"/>
              </a:ext>
            </a:extLst>
          </xdr:cNvPr>
          <xdr:cNvGrpSpPr/>
        </xdr:nvGrpSpPr>
        <xdr:grpSpPr>
          <a:xfrm>
            <a:off x="527995" y="10086438"/>
            <a:ext cx="2531105" cy="1492805"/>
            <a:chOff x="5604361" y="1336172"/>
            <a:chExt cx="2585505" cy="1378733"/>
          </a:xfrm>
        </xdr:grpSpPr>
        <xdr:grpSp>
          <xdr:nvGrpSpPr>
            <xdr:cNvPr id="36" name="Group 35">
              <a:extLst>
                <a:ext uri="{FF2B5EF4-FFF2-40B4-BE49-F238E27FC236}">
                  <a16:creationId xmlns:a16="http://schemas.microsoft.com/office/drawing/2014/main" id="{F7AFFEBB-D1E0-4476-9BF6-3A1AFC90AD49}"/>
                </a:ext>
              </a:extLst>
            </xdr:cNvPr>
            <xdr:cNvGrpSpPr/>
          </xdr:nvGrpSpPr>
          <xdr:grpSpPr>
            <a:xfrm>
              <a:off x="5604361" y="1336172"/>
              <a:ext cx="2585505" cy="1378733"/>
              <a:chOff x="3612553" y="3396291"/>
              <a:chExt cx="2546244" cy="1620808"/>
            </a:xfrm>
          </xdr:grpSpPr>
          <xdr:sp macro="" textlink="">
            <xdr:nvSpPr>
              <xdr:cNvPr id="38" name="Rectangle 37">
                <a:extLst>
                  <a:ext uri="{FF2B5EF4-FFF2-40B4-BE49-F238E27FC236}">
                    <a16:creationId xmlns:a16="http://schemas.microsoft.com/office/drawing/2014/main" id="{07DABEED-1E93-4AE8-9E1D-FBFA1A751FFA}"/>
                  </a:ext>
                </a:extLst>
              </xdr:cNvPr>
              <xdr:cNvSpPr/>
            </xdr:nvSpPr>
            <xdr:spPr>
              <a:xfrm>
                <a:off x="3772669" y="3399447"/>
                <a:ext cx="2386128" cy="1617644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39" name="Straight Connector 38">
                <a:extLst>
                  <a:ext uri="{FF2B5EF4-FFF2-40B4-BE49-F238E27FC236}">
                    <a16:creationId xmlns:a16="http://schemas.microsoft.com/office/drawing/2014/main" id="{BFEC37C8-3306-4983-BC5D-B270DC814396}"/>
                  </a:ext>
                </a:extLst>
              </xdr:cNvPr>
              <xdr:cNvCxnSpPr/>
            </xdr:nvCxnSpPr>
            <xdr:spPr>
              <a:xfrm>
                <a:off x="3762194" y="3396291"/>
                <a:ext cx="647" cy="1620808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40" name="Isosceles Triangle 39">
                <a:extLst>
                  <a:ext uri="{FF2B5EF4-FFF2-40B4-BE49-F238E27FC236}">
                    <a16:creationId xmlns:a16="http://schemas.microsoft.com/office/drawing/2014/main" id="{5D9A8FBA-F4AB-48C3-B84C-A3A74B68A22F}"/>
                  </a:ext>
                </a:extLst>
              </xdr:cNvPr>
              <xdr:cNvSpPr/>
            </xdr:nvSpPr>
            <xdr:spPr>
              <a:xfrm rot="16200000">
                <a:off x="3493419" y="3575296"/>
                <a:ext cx="320423" cy="82156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37" name="Rectangle 36">
              <a:extLst>
                <a:ext uri="{FF2B5EF4-FFF2-40B4-BE49-F238E27FC236}">
                  <a16:creationId xmlns:a16="http://schemas.microsoft.com/office/drawing/2014/main" id="{FBBD18F9-13FA-49A2-8B05-1D289D2CCFE3}"/>
                </a:ext>
              </a:extLst>
            </xdr:cNvPr>
            <xdr:cNvSpPr/>
          </xdr:nvSpPr>
          <xdr:spPr>
            <a:xfrm>
              <a:off x="5797833" y="1352313"/>
              <a:ext cx="2202832" cy="1298761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XNPV() and XIRR() require a 'trigger' to work correctly - we do this with a range named constant for transparancy.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53D436E2-3F10-42B8-B91C-3400B0F5CF1C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31417" y="10254329"/>
            <a:ext cx="215986" cy="550103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28575</xdr:colOff>
      <xdr:row>35</xdr:row>
      <xdr:rowOff>100013</xdr:rowOff>
    </xdr:from>
    <xdr:to>
      <xdr:col>14</xdr:col>
      <xdr:colOff>133350</xdr:colOff>
      <xdr:row>41</xdr:row>
      <xdr:rowOff>9525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8D98E1C4-C65E-4407-832E-E52470F72C21}"/>
            </a:ext>
          </a:extLst>
        </xdr:cNvPr>
        <xdr:cNvGrpSpPr/>
      </xdr:nvGrpSpPr>
      <xdr:grpSpPr>
        <a:xfrm>
          <a:off x="3409950" y="6100763"/>
          <a:ext cx="3575448" cy="915591"/>
          <a:chOff x="527995" y="10086438"/>
          <a:chExt cx="2531105" cy="1492805"/>
        </a:xfrm>
      </xdr:grpSpPr>
      <xdr:grpSp>
        <xdr:nvGrpSpPr>
          <xdr:cNvPr id="44" name="Group 43">
            <a:extLst>
              <a:ext uri="{FF2B5EF4-FFF2-40B4-BE49-F238E27FC236}">
                <a16:creationId xmlns:a16="http://schemas.microsoft.com/office/drawing/2014/main" id="{2E7B9F70-1EC9-422D-97D2-6690E97DA211}"/>
              </a:ext>
            </a:extLst>
          </xdr:cNvPr>
          <xdr:cNvGrpSpPr/>
        </xdr:nvGrpSpPr>
        <xdr:grpSpPr>
          <a:xfrm>
            <a:off x="527995" y="10086438"/>
            <a:ext cx="2531105" cy="1492805"/>
            <a:chOff x="5604361" y="1336172"/>
            <a:chExt cx="2585505" cy="1378733"/>
          </a:xfrm>
        </xdr:grpSpPr>
        <xdr:grpSp>
          <xdr:nvGrpSpPr>
            <xdr:cNvPr id="46" name="Group 45">
              <a:extLst>
                <a:ext uri="{FF2B5EF4-FFF2-40B4-BE49-F238E27FC236}">
                  <a16:creationId xmlns:a16="http://schemas.microsoft.com/office/drawing/2014/main" id="{367E900B-766B-42F3-938B-ACC9AC579214}"/>
                </a:ext>
              </a:extLst>
            </xdr:cNvPr>
            <xdr:cNvGrpSpPr/>
          </xdr:nvGrpSpPr>
          <xdr:grpSpPr>
            <a:xfrm>
              <a:off x="5604361" y="1336172"/>
              <a:ext cx="2585505" cy="1378733"/>
              <a:chOff x="3612553" y="3396291"/>
              <a:chExt cx="2546244" cy="1620808"/>
            </a:xfrm>
          </xdr:grpSpPr>
          <xdr:sp macro="" textlink="">
            <xdr:nvSpPr>
              <xdr:cNvPr id="48" name="Rectangle 47">
                <a:extLst>
                  <a:ext uri="{FF2B5EF4-FFF2-40B4-BE49-F238E27FC236}">
                    <a16:creationId xmlns:a16="http://schemas.microsoft.com/office/drawing/2014/main" id="{0F5C3C28-B268-4EBB-BEA8-4E32118954F8}"/>
                  </a:ext>
                </a:extLst>
              </xdr:cNvPr>
              <xdr:cNvSpPr/>
            </xdr:nvSpPr>
            <xdr:spPr>
              <a:xfrm>
                <a:off x="3772669" y="3399447"/>
                <a:ext cx="2386128" cy="1617644"/>
              </a:xfrm>
              <a:prstGeom prst="rect">
                <a:avLst/>
              </a:prstGeom>
              <a:gradFill flip="none" rotWithShape="1">
                <a:gsLst>
                  <a:gs pos="0">
                    <a:srgbClr val="F7F9F0"/>
                  </a:gs>
                  <a:gs pos="69000">
                    <a:schemeClr val="accent6">
                      <a:lumMod val="20000"/>
                      <a:lumOff val="80000"/>
                    </a:schemeClr>
                  </a:gs>
                  <a:gs pos="100000">
                    <a:srgbClr val="E0E9C6"/>
                  </a:gs>
                </a:gsLst>
                <a:lin ang="5400000" scaled="1"/>
                <a:tileRect/>
              </a:gra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tIns="72000" rIns="252000" bIns="108000" rtlCol="0" anchor="ctr"/>
              <a:lstStyle/>
              <a:p>
                <a:pPr algn="ctr"/>
                <a:endParaRPr lang="en-AU" sz="1100">
                  <a:solidFill>
                    <a:schemeClr val="tx1"/>
                  </a:solidFill>
                </a:endParaRPr>
              </a:p>
            </xdr:txBody>
          </xdr:sp>
          <xdr:cxnSp macro="">
            <xdr:nvCxnSpPr>
              <xdr:cNvPr id="49" name="Straight Connector 48">
                <a:extLst>
                  <a:ext uri="{FF2B5EF4-FFF2-40B4-BE49-F238E27FC236}">
                    <a16:creationId xmlns:a16="http://schemas.microsoft.com/office/drawing/2014/main" id="{F7B92FFA-AFA3-49CB-95CD-E7EB6D8C2702}"/>
                  </a:ext>
                </a:extLst>
              </xdr:cNvPr>
              <xdr:cNvCxnSpPr/>
            </xdr:nvCxnSpPr>
            <xdr:spPr>
              <a:xfrm>
                <a:off x="3762194" y="3396291"/>
                <a:ext cx="647" cy="1620808"/>
              </a:xfrm>
              <a:prstGeom prst="line">
                <a:avLst/>
              </a:prstGeom>
              <a:ln w="31750">
                <a:solidFill>
                  <a:srgbClr val="99BC22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0" name="Isosceles Triangle 49">
                <a:extLst>
                  <a:ext uri="{FF2B5EF4-FFF2-40B4-BE49-F238E27FC236}">
                    <a16:creationId xmlns:a16="http://schemas.microsoft.com/office/drawing/2014/main" id="{25D870C1-1342-43A6-B132-4CBD0EE74321}"/>
                  </a:ext>
                </a:extLst>
              </xdr:cNvPr>
              <xdr:cNvSpPr/>
            </xdr:nvSpPr>
            <xdr:spPr>
              <a:xfrm rot="16200000">
                <a:off x="3493419" y="4673489"/>
                <a:ext cx="320423" cy="82156"/>
              </a:xfrm>
              <a:prstGeom prst="triangle">
                <a:avLst/>
              </a:prstGeom>
              <a:solidFill>
                <a:srgbClr val="99BC22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AU" sz="1100"/>
              </a:p>
            </xdr:txBody>
          </xdr:sp>
        </xdr:grpSp>
        <xdr:sp macro="" textlink="">
          <xdr:nvSpPr>
            <xdr:cNvPr id="47" name="Rectangle 46">
              <a:extLst>
                <a:ext uri="{FF2B5EF4-FFF2-40B4-BE49-F238E27FC236}">
                  <a16:creationId xmlns:a16="http://schemas.microsoft.com/office/drawing/2014/main" id="{191D9512-1FF8-4D51-A01E-AA438BD60A10}"/>
                </a:ext>
              </a:extLst>
            </xdr:cNvPr>
            <xdr:cNvSpPr/>
          </xdr:nvSpPr>
          <xdr:spPr>
            <a:xfrm>
              <a:off x="5797833" y="1352313"/>
              <a:ext cx="2202832" cy="1298761"/>
            </a:xfrm>
            <a:prstGeom prst="rect">
              <a:avLst/>
            </a:prstGeom>
            <a:noFill/>
            <a:ln w="9525">
              <a:noFill/>
            </a:ln>
            <a:effectLst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r>
                <a:rPr lang="en-AU" sz="1100" b="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This linear bisection method is a quick way to estimate if the 'black-box' IRR function is in the right ball-park. It's normally within a 0.50%-1.00% (absolute) if you know the IRR range with 10%</a:t>
              </a:r>
              <a:endParaRPr lang="en-AU" sz="600">
                <a:solidFill>
                  <a:schemeClr val="tx1"/>
                </a:solidFill>
                <a:effectLst/>
              </a:endParaRPr>
            </a:p>
          </xdr:txBody>
        </xdr:sp>
      </xdr:grpSp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BBCFDE48-B674-4783-B45C-AFFAAB971924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635" y="10254330"/>
            <a:ext cx="176517" cy="382147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Vector TEST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00A0E3"/>
      </a:accent1>
      <a:accent2>
        <a:srgbClr val="052F5B"/>
      </a:accent2>
      <a:accent3>
        <a:srgbClr val="939598"/>
      </a:accent3>
      <a:accent4>
        <a:srgbClr val="D1D2D3"/>
      </a:accent4>
      <a:accent5>
        <a:srgbClr val="F47920"/>
      </a:accent5>
      <a:accent6>
        <a:srgbClr val="96BB20"/>
      </a:accent6>
      <a:hlink>
        <a:srgbClr val="0070C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J60"/>
  <sheetViews>
    <sheetView showRowColHeaders="0" tabSelected="1" zoomScaleNormal="100" workbookViewId="0"/>
  </sheetViews>
  <sheetFormatPr defaultColWidth="0" defaultRowHeight="13.15" zeroHeight="1" x14ac:dyDescent="0.4"/>
  <cols>
    <col min="1" max="30" width="7.7109375" customWidth="1"/>
    <col min="31" max="36" width="7.7109375" hidden="1" customWidth="1"/>
    <col min="37" max="16384" width="8.78515625" hidden="1"/>
  </cols>
  <sheetData>
    <row r="1" spans="4:34" x14ac:dyDescent="0.4"/>
    <row r="2" spans="4:34" x14ac:dyDescent="0.4"/>
    <row r="3" spans="4:34" x14ac:dyDescent="0.4"/>
    <row r="4" spans="4:34" x14ac:dyDescent="0.4"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4:34" x14ac:dyDescent="0.4"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4:34" x14ac:dyDescent="0.4"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4:34" x14ac:dyDescent="0.4"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4:34" x14ac:dyDescent="0.4"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AG8" s="1"/>
      <c r="AH8" s="1"/>
    </row>
    <row r="9" spans="4:34" x14ac:dyDescent="0.4">
      <c r="D9" s="1"/>
      <c r="E9" s="1"/>
      <c r="F9" s="1"/>
      <c r="G9" s="1"/>
      <c r="H9" s="1"/>
      <c r="I9" s="1"/>
      <c r="J9" s="1"/>
      <c r="K9" s="1"/>
      <c r="L9" s="1"/>
      <c r="M9" s="1">
        <f>M8</f>
        <v>0</v>
      </c>
      <c r="N9" s="1"/>
      <c r="O9" s="1"/>
      <c r="P9" s="1"/>
      <c r="Q9" s="1"/>
      <c r="R9" s="1"/>
      <c r="S9" s="1"/>
      <c r="AG9" s="1"/>
      <c r="AH9" s="1"/>
    </row>
    <row r="10" spans="4:34" x14ac:dyDescent="0.4"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AG10" s="1"/>
      <c r="AH10" s="1"/>
    </row>
    <row r="11" spans="4:34" x14ac:dyDescent="0.4"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AG11" s="1"/>
      <c r="AH11" s="1"/>
    </row>
    <row r="12" spans="4:34" x14ac:dyDescent="0.4"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AG12" s="1"/>
      <c r="AH12" s="1"/>
    </row>
    <row r="13" spans="4:34" x14ac:dyDescent="0.4">
      <c r="D13" s="1"/>
      <c r="E13" s="1"/>
      <c r="F13" s="1"/>
      <c r="G13" s="1"/>
      <c r="H13" s="1"/>
      <c r="I13" s="3"/>
      <c r="J13" s="1"/>
      <c r="K13" s="1"/>
      <c r="L13" s="1"/>
      <c r="M13" s="1"/>
      <c r="N13" s="1"/>
      <c r="O13" s="1"/>
      <c r="P13" s="1"/>
      <c r="Q13" s="1"/>
      <c r="R13" s="1"/>
      <c r="S13" s="1"/>
      <c r="AG13" s="1"/>
      <c r="AH13" s="1"/>
    </row>
    <row r="14" spans="4:34" x14ac:dyDescent="0.4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AG14" s="1"/>
      <c r="AH14" s="1"/>
    </row>
    <row r="15" spans="4:34" x14ac:dyDescent="0.4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AG15" s="1"/>
      <c r="AH15" s="1"/>
    </row>
    <row r="16" spans="4:34" x14ac:dyDescent="0.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AG16" s="1"/>
      <c r="AH16" s="1"/>
    </row>
    <row r="17" spans="4:34" x14ac:dyDescent="0.4">
      <c r="D17" s="1"/>
      <c r="E17" s="1"/>
      <c r="F17" s="1"/>
      <c r="G17" s="1"/>
      <c r="H17" s="1"/>
      <c r="I17" s="1"/>
      <c r="J17" s="1"/>
      <c r="K17" s="1"/>
      <c r="L17" s="2"/>
      <c r="M17" s="1"/>
      <c r="N17" s="1"/>
      <c r="O17" s="1"/>
      <c r="P17" s="1"/>
      <c r="Q17" s="1"/>
      <c r="R17" s="1"/>
      <c r="S17" s="1"/>
      <c r="AG17" s="1"/>
      <c r="AH17" s="1"/>
    </row>
    <row r="18" spans="4:34" x14ac:dyDescent="0.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AG18" s="1"/>
      <c r="AH18" s="1"/>
    </row>
    <row r="19" spans="4:34" x14ac:dyDescent="0.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AG19" s="1"/>
      <c r="AH19" s="1"/>
    </row>
    <row r="20" spans="4:34" x14ac:dyDescent="0.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AG20" s="1"/>
      <c r="AH20" s="1"/>
    </row>
    <row r="21" spans="4:34" x14ac:dyDescent="0.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AG21" s="1"/>
      <c r="AH21" s="1"/>
    </row>
    <row r="22" spans="4:34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AG22" s="1"/>
      <c r="AH22" s="1"/>
    </row>
    <row r="23" spans="4:34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AG23" s="1"/>
      <c r="AH23" s="1"/>
    </row>
    <row r="24" spans="4:34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AG24" s="1"/>
      <c r="AH24" s="1"/>
    </row>
    <row r="25" spans="4:34" x14ac:dyDescent="0.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AG25" s="1"/>
      <c r="AH25" s="1"/>
    </row>
    <row r="26" spans="4:34" x14ac:dyDescent="0.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AG26" s="1"/>
      <c r="AH26" s="1"/>
    </row>
    <row r="27" spans="4:34" x14ac:dyDescent="0.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AG27" s="1"/>
      <c r="AH27" s="1"/>
    </row>
    <row r="28" spans="4:34" x14ac:dyDescent="0.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AG28" s="1"/>
      <c r="AH28" s="1"/>
    </row>
    <row r="29" spans="4:34" x14ac:dyDescent="0.4"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AG29" s="1"/>
      <c r="AH29" s="1"/>
    </row>
    <row r="30" spans="4:34" x14ac:dyDescent="0.4"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AG30" s="1"/>
      <c r="AH30" s="1"/>
    </row>
    <row r="31" spans="4:34" x14ac:dyDescent="0.4"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4:34" x14ac:dyDescent="0.4"/>
    <row r="33" x14ac:dyDescent="0.4"/>
    <row r="34" x14ac:dyDescent="0.4"/>
    <row r="35" x14ac:dyDescent="0.4"/>
    <row r="36" x14ac:dyDescent="0.4"/>
    <row r="37" x14ac:dyDescent="0.4"/>
    <row r="38" x14ac:dyDescent="0.4"/>
    <row r="39" x14ac:dyDescent="0.4"/>
    <row r="40" x14ac:dyDescent="0.4"/>
    <row r="41" x14ac:dyDescent="0.4"/>
    <row r="42" x14ac:dyDescent="0.4"/>
    <row r="43" x14ac:dyDescent="0.4"/>
    <row r="44" x14ac:dyDescent="0.4"/>
    <row r="45" x14ac:dyDescent="0.4"/>
    <row r="46" x14ac:dyDescent="0.4"/>
    <row r="47" x14ac:dyDescent="0.4"/>
    <row r="48" x14ac:dyDescent="0.4"/>
    <row r="49" x14ac:dyDescent="0.4"/>
    <row r="50" x14ac:dyDescent="0.4"/>
    <row r="51" x14ac:dyDescent="0.4"/>
    <row r="52" x14ac:dyDescent="0.4"/>
    <row r="53" x14ac:dyDescent="0.4"/>
    <row r="54" x14ac:dyDescent="0.4"/>
    <row r="55" x14ac:dyDescent="0.4"/>
    <row r="56" x14ac:dyDescent="0.4"/>
    <row r="57" x14ac:dyDescent="0.4"/>
    <row r="58" x14ac:dyDescent="0.4"/>
    <row r="59" hidden="1" x14ac:dyDescent="0.4"/>
    <row r="60" hidden="1" x14ac:dyDescent="0.4"/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 tint="0.749992370372631"/>
    <pageSetUpPr fitToPage="1"/>
  </sheetPr>
  <dimension ref="A1:XFD110"/>
  <sheetViews>
    <sheetView showGridLines="0" zoomScale="80" zoomScaleNormal="80" workbookViewId="0">
      <pane ySplit="8" topLeftCell="A9" activePane="bottomLeft" state="frozen"/>
      <selection pane="bottomLeft"/>
    </sheetView>
  </sheetViews>
  <sheetFormatPr defaultColWidth="0" defaultRowHeight="13.15" zeroHeight="1" x14ac:dyDescent="0.4"/>
  <cols>
    <col min="1" max="2" width="1.2109375" customWidth="1"/>
    <col min="3" max="3" width="1.2109375" style="1" customWidth="1"/>
    <col min="4" max="4" width="23.92578125" customWidth="1"/>
    <col min="5" max="6" width="6.85546875" bestFit="1" customWidth="1"/>
    <col min="7" max="7" width="8.640625" bestFit="1" customWidth="1"/>
    <col min="8" max="8" width="0.640625" customWidth="1"/>
    <col min="9" max="9" width="5.78515625" style="1" customWidth="1"/>
    <col min="10" max="10" width="9.78515625" style="1" bestFit="1" customWidth="1"/>
    <col min="11" max="11" width="9.140625" style="1" bestFit="1" customWidth="1"/>
    <col min="12" max="17" width="9.140625" bestFit="1" customWidth="1"/>
    <col min="18" max="20" width="9.140625" style="1" bestFit="1" customWidth="1"/>
    <col min="21" max="21" width="8.78515625" style="1" bestFit="1" customWidth="1"/>
    <col min="22" max="22" width="9.140625" bestFit="1" customWidth="1"/>
    <col min="23" max="23" width="8.5" bestFit="1" customWidth="1"/>
    <col min="24" max="24" width="8.7109375" bestFit="1" customWidth="1"/>
    <col min="25" max="25" width="8.78515625" bestFit="1" customWidth="1"/>
    <col min="26" max="26" width="9.140625" bestFit="1" customWidth="1"/>
    <col min="27" max="27" width="8.5" bestFit="1" customWidth="1"/>
    <col min="28" max="28" width="9.2109375" bestFit="1" customWidth="1"/>
    <col min="29" max="29" width="9.42578125" bestFit="1" customWidth="1"/>
    <col min="30" max="30" width="8.78515625" customWidth="1"/>
    <col min="31" max="16384" width="8.78515625" hidden="1"/>
  </cols>
  <sheetData>
    <row r="1" spans="3:16384" s="1" customFormat="1" x14ac:dyDescent="0.4"/>
    <row r="2" spans="3:16384" x14ac:dyDescent="0.4">
      <c r="C2"/>
      <c r="M2" s="1"/>
      <c r="N2" s="1"/>
      <c r="O2" s="1"/>
      <c r="P2" s="1"/>
      <c r="Q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  <c r="XEW2" s="1"/>
      <c r="XEX2" s="1"/>
      <c r="XEY2" s="1"/>
      <c r="XEZ2" s="1"/>
      <c r="XFA2" s="1"/>
      <c r="XFB2" s="1"/>
      <c r="XFC2" s="1"/>
      <c r="XFD2" s="1"/>
    </row>
    <row r="3" spans="3:16384" s="1" customFormat="1" x14ac:dyDescent="0.4"/>
    <row r="4" spans="3:16384" s="1" customFormat="1" x14ac:dyDescent="0.4"/>
    <row r="5" spans="3:16384" s="1" customFormat="1" x14ac:dyDescent="0.4"/>
    <row r="6" spans="3:16384" s="1" customFormat="1" x14ac:dyDescent="0.4"/>
    <row r="7" spans="3:16384" s="1" customFormat="1" x14ac:dyDescent="0.4"/>
    <row r="8" spans="3:16384" s="1" customFormat="1" x14ac:dyDescent="0.4"/>
    <row r="9" spans="3:16384" s="1" customFormat="1" x14ac:dyDescent="0.4"/>
    <row r="10" spans="3:16384" s="1" customFormat="1" ht="15.75" x14ac:dyDescent="0.5">
      <c r="D10" s="5" t="s">
        <v>4</v>
      </c>
    </row>
    <row r="11" spans="3:16384" s="1" customFormat="1" x14ac:dyDescent="0.4">
      <c r="D11" t="s">
        <v>2</v>
      </c>
      <c r="E11"/>
      <c r="F11" s="8">
        <v>4</v>
      </c>
    </row>
    <row r="12" spans="3:16384" s="1" customFormat="1" x14ac:dyDescent="0.4">
      <c r="D12" s="1" t="s">
        <v>3</v>
      </c>
      <c r="F12" s="8">
        <v>3</v>
      </c>
    </row>
    <row r="13" spans="3:16384" s="1" customFormat="1" ht="13.5" customHeight="1" x14ac:dyDescent="0.4">
      <c r="D13" s="1" t="s">
        <v>26</v>
      </c>
      <c r="F13" s="8">
        <v>365</v>
      </c>
    </row>
    <row r="14" spans="3:16384" s="1" customFormat="1" ht="13.5" customHeight="1" x14ac:dyDescent="0.4"/>
    <row r="15" spans="3:16384" ht="13.5" customHeight="1" x14ac:dyDescent="0.4">
      <c r="C15"/>
      <c r="D15" s="1" t="s">
        <v>10</v>
      </c>
      <c r="E15" s="1"/>
      <c r="F15" s="16">
        <v>1E-4</v>
      </c>
      <c r="G15" s="1"/>
      <c r="H15" s="1"/>
      <c r="R15"/>
      <c r="AE15" s="1"/>
    </row>
    <row r="16" spans="3:16384" s="1" customFormat="1" ht="13.5" customHeight="1" x14ac:dyDescent="0.4"/>
    <row r="17" spans="4:20" s="1" customFormat="1" ht="13.5" customHeight="1" x14ac:dyDescent="0.4"/>
    <row r="18" spans="4:20" s="1" customFormat="1" ht="13.5" customHeight="1" x14ac:dyDescent="0.4">
      <c r="D18" s="11" t="s">
        <v>6</v>
      </c>
    </row>
    <row r="19" spans="4:20" s="1" customFormat="1" ht="13.5" customHeight="1" x14ac:dyDescent="0.4">
      <c r="D19" s="15" t="s">
        <v>7</v>
      </c>
      <c r="E19" s="9" t="s">
        <v>1</v>
      </c>
      <c r="F19" s="10">
        <v>0.1</v>
      </c>
    </row>
    <row r="20" spans="4:20" s="1" customFormat="1" ht="13.5" customHeight="1" x14ac:dyDescent="0.4">
      <c r="D20" s="1" t="s">
        <v>29</v>
      </c>
      <c r="E20" s="9" t="s">
        <v>30</v>
      </c>
      <c r="F20" s="10">
        <v>0.1</v>
      </c>
    </row>
    <row r="21" spans="4:20" s="1" customFormat="1" ht="13.5" customHeight="1" x14ac:dyDescent="0.4"/>
    <row r="22" spans="4:20" s="1" customFormat="1" ht="13.5" customHeight="1" x14ac:dyDescent="0.5">
      <c r="D22" s="5" t="s">
        <v>23</v>
      </c>
    </row>
    <row r="23" spans="4:20" s="1" customFormat="1" ht="13.5" customHeight="1" x14ac:dyDescent="0.4">
      <c r="D23" s="27" t="s">
        <v>35</v>
      </c>
    </row>
    <row r="24" spans="4:20" s="1" customFormat="1" ht="13.5" customHeight="1" x14ac:dyDescent="0.4">
      <c r="J24" s="7">
        <v>1</v>
      </c>
      <c r="K24" s="7">
        <f>J24+1</f>
        <v>2</v>
      </c>
      <c r="L24" s="7">
        <f t="shared" ref="L24:T24" si="0">K24+1</f>
        <v>3</v>
      </c>
      <c r="M24" s="7">
        <f t="shared" si="0"/>
        <v>4</v>
      </c>
      <c r="N24" s="7">
        <f t="shared" si="0"/>
        <v>5</v>
      </c>
      <c r="O24" s="7">
        <f t="shared" si="0"/>
        <v>6</v>
      </c>
      <c r="P24" s="7">
        <f t="shared" si="0"/>
        <v>7</v>
      </c>
      <c r="Q24" s="7">
        <f t="shared" si="0"/>
        <v>8</v>
      </c>
      <c r="R24" s="7">
        <f t="shared" si="0"/>
        <v>9</v>
      </c>
      <c r="S24" s="7">
        <f t="shared" si="0"/>
        <v>10</v>
      </c>
      <c r="T24" s="7">
        <f t="shared" si="0"/>
        <v>11</v>
      </c>
    </row>
    <row r="25" spans="4:20" s="1" customFormat="1" ht="13.5" customHeight="1" x14ac:dyDescent="0.4">
      <c r="J25" s="4">
        <v>43190</v>
      </c>
      <c r="K25" s="4">
        <f>EOMONTH(J25,12)</f>
        <v>43555</v>
      </c>
      <c r="L25" s="4">
        <f t="shared" ref="L25:T25" si="1">EOMONTH(K25,12)</f>
        <v>43921</v>
      </c>
      <c r="M25" s="4">
        <f t="shared" si="1"/>
        <v>44286</v>
      </c>
      <c r="N25" s="4">
        <f t="shared" si="1"/>
        <v>44651</v>
      </c>
      <c r="O25" s="4">
        <f t="shared" si="1"/>
        <v>45016</v>
      </c>
      <c r="P25" s="4">
        <f t="shared" si="1"/>
        <v>45382</v>
      </c>
      <c r="Q25" s="4">
        <f t="shared" si="1"/>
        <v>45747</v>
      </c>
      <c r="R25" s="4">
        <f t="shared" si="1"/>
        <v>46112</v>
      </c>
      <c r="S25" s="4">
        <f t="shared" si="1"/>
        <v>46477</v>
      </c>
      <c r="T25" s="4">
        <f t="shared" si="1"/>
        <v>46843</v>
      </c>
    </row>
    <row r="26" spans="4:20" s="1" customFormat="1" ht="13.5" customHeight="1" x14ac:dyDescent="0.4">
      <c r="D26" s="1" t="s">
        <v>5</v>
      </c>
      <c r="E26" s="1" t="s">
        <v>0</v>
      </c>
      <c r="J26" s="14">
        <v>-3</v>
      </c>
      <c r="K26" s="14">
        <v>1.5</v>
      </c>
      <c r="L26" s="14">
        <v>1.5</v>
      </c>
      <c r="M26" s="14">
        <v>1.5</v>
      </c>
      <c r="N26" s="14"/>
      <c r="O26" s="14"/>
      <c r="P26" s="14"/>
      <c r="Q26" s="14"/>
      <c r="R26" s="14"/>
      <c r="S26" s="14"/>
      <c r="T26" s="14"/>
    </row>
    <row r="27" spans="4:20" s="1" customFormat="1" ht="13.5" customHeight="1" x14ac:dyDescent="0.4"/>
    <row r="28" spans="4:20" s="1" customFormat="1" ht="13.5" customHeight="1" x14ac:dyDescent="0.4">
      <c r="D28" s="11" t="s">
        <v>24</v>
      </c>
      <c r="F28" s="33" t="s">
        <v>27</v>
      </c>
      <c r="G28" s="33" t="s">
        <v>28</v>
      </c>
    </row>
    <row r="29" spans="4:20" s="1" customFormat="1" ht="13.5" customHeight="1" x14ac:dyDescent="0.4">
      <c r="D29" s="1" t="s">
        <v>5</v>
      </c>
      <c r="E29" s="1" t="s">
        <v>0</v>
      </c>
      <c r="F29" s="39">
        <f>NPV(DiscountRate.Project.PA,J29:T29)</f>
        <v>0.66388907861484803</v>
      </c>
      <c r="G29" s="37">
        <f>IRR(J29:T29,IRR.StartingPoint)</f>
        <v>0.23375192852825655</v>
      </c>
      <c r="J29" s="32">
        <f>J26</f>
        <v>-3</v>
      </c>
      <c r="K29" s="32">
        <f t="shared" ref="K29:T29" si="2">K26</f>
        <v>1.5</v>
      </c>
      <c r="L29" s="32">
        <f t="shared" si="2"/>
        <v>1.5</v>
      </c>
      <c r="M29" s="32">
        <f t="shared" si="2"/>
        <v>1.5</v>
      </c>
      <c r="N29" s="32">
        <f t="shared" si="2"/>
        <v>0</v>
      </c>
      <c r="O29" s="32">
        <f t="shared" si="2"/>
        <v>0</v>
      </c>
      <c r="P29" s="32">
        <f t="shared" si="2"/>
        <v>0</v>
      </c>
      <c r="Q29" s="32">
        <f t="shared" si="2"/>
        <v>0</v>
      </c>
      <c r="R29" s="32">
        <f t="shared" si="2"/>
        <v>0</v>
      </c>
      <c r="S29" s="32">
        <f t="shared" si="2"/>
        <v>0</v>
      </c>
      <c r="T29" s="32">
        <f t="shared" si="2"/>
        <v>0</v>
      </c>
    </row>
    <row r="30" spans="4:20" s="1" customFormat="1" ht="13.5" customHeight="1" x14ac:dyDescent="0.4"/>
    <row r="31" spans="4:20" s="1" customFormat="1" ht="13.5" customHeight="1" x14ac:dyDescent="0.4">
      <c r="D31" s="11" t="s">
        <v>25</v>
      </c>
    </row>
    <row r="32" spans="4:20" s="1" customFormat="1" ht="13.5" customHeight="1" x14ac:dyDescent="0.4">
      <c r="D32" s="1" t="s">
        <v>5</v>
      </c>
      <c r="E32" s="1" t="s">
        <v>0</v>
      </c>
      <c r="J32" s="32">
        <f>J26</f>
        <v>-3</v>
      </c>
      <c r="K32" s="32">
        <f t="shared" ref="K32:T32" si="3">K26</f>
        <v>1.5</v>
      </c>
      <c r="L32" s="32">
        <f t="shared" si="3"/>
        <v>1.5</v>
      </c>
      <c r="M32" s="32">
        <f t="shared" si="3"/>
        <v>1.5</v>
      </c>
      <c r="N32" s="32">
        <f t="shared" si="3"/>
        <v>0</v>
      </c>
      <c r="O32" s="32">
        <f t="shared" si="3"/>
        <v>0</v>
      </c>
      <c r="P32" s="32">
        <f t="shared" si="3"/>
        <v>0</v>
      </c>
      <c r="Q32" s="32">
        <f t="shared" si="3"/>
        <v>0</v>
      </c>
      <c r="R32" s="32">
        <f t="shared" si="3"/>
        <v>0</v>
      </c>
      <c r="S32" s="32">
        <f t="shared" si="3"/>
        <v>0</v>
      </c>
      <c r="T32" s="32">
        <f t="shared" si="3"/>
        <v>0</v>
      </c>
    </row>
    <row r="33" spans="4:29" s="1" customFormat="1" ht="13.5" customHeight="1" x14ac:dyDescent="0.4">
      <c r="D33" s="1" t="s">
        <v>8</v>
      </c>
      <c r="F33" s="33" t="s">
        <v>13</v>
      </c>
      <c r="I33" s="30">
        <v>1</v>
      </c>
      <c r="J33" s="32">
        <f t="shared" ref="J33:T33" si="4">I33*(1+DiscountRate.Project.PA)</f>
        <v>1.1000000000000001</v>
      </c>
      <c r="K33" s="32">
        <f t="shared" si="4"/>
        <v>1.2100000000000002</v>
      </c>
      <c r="L33" s="32">
        <f t="shared" si="4"/>
        <v>1.3310000000000004</v>
      </c>
      <c r="M33" s="32">
        <f t="shared" si="4"/>
        <v>1.4641000000000006</v>
      </c>
      <c r="N33" s="32">
        <f t="shared" si="4"/>
        <v>1.6105100000000008</v>
      </c>
      <c r="O33" s="32">
        <f t="shared" si="4"/>
        <v>1.7715610000000011</v>
      </c>
      <c r="P33" s="32">
        <f t="shared" si="4"/>
        <v>1.9487171000000014</v>
      </c>
      <c r="Q33" s="32">
        <f t="shared" si="4"/>
        <v>2.1435888100000016</v>
      </c>
      <c r="R33" s="32">
        <f t="shared" si="4"/>
        <v>2.3579476910000019</v>
      </c>
      <c r="S33" s="32">
        <f t="shared" si="4"/>
        <v>2.5937424601000023</v>
      </c>
      <c r="T33" s="32">
        <f t="shared" si="4"/>
        <v>2.8531167061100029</v>
      </c>
    </row>
    <row r="34" spans="4:29" s="1" customFormat="1" ht="13.5" customHeight="1" x14ac:dyDescent="0.4">
      <c r="D34" s="1" t="s">
        <v>9</v>
      </c>
      <c r="E34" s="1" t="s">
        <v>0</v>
      </c>
      <c r="F34" s="34">
        <f>SUM(J34:T34)</f>
        <v>0.66388907861484792</v>
      </c>
      <c r="J34" s="32">
        <f t="shared" ref="J34:T34" si="5">J26/J33</f>
        <v>-2.7272727272727271</v>
      </c>
      <c r="K34" s="32">
        <f t="shared" si="5"/>
        <v>1.2396694214876032</v>
      </c>
      <c r="L34" s="32">
        <f t="shared" si="5"/>
        <v>1.1269722013523662</v>
      </c>
      <c r="M34" s="32">
        <f t="shared" si="5"/>
        <v>1.0245201830476056</v>
      </c>
      <c r="N34" s="32">
        <f t="shared" si="5"/>
        <v>0</v>
      </c>
      <c r="O34" s="32">
        <f t="shared" si="5"/>
        <v>0</v>
      </c>
      <c r="P34" s="32">
        <f t="shared" si="5"/>
        <v>0</v>
      </c>
      <c r="Q34" s="32">
        <f t="shared" si="5"/>
        <v>0</v>
      </c>
      <c r="R34" s="32">
        <f t="shared" si="5"/>
        <v>0</v>
      </c>
      <c r="S34" s="32">
        <f t="shared" si="5"/>
        <v>0</v>
      </c>
      <c r="T34" s="32">
        <f t="shared" si="5"/>
        <v>0</v>
      </c>
    </row>
    <row r="35" spans="4:29" s="1" customFormat="1" x14ac:dyDescent="0.4"/>
    <row r="36" spans="4:29" s="1" customFormat="1" x14ac:dyDescent="0.4">
      <c r="D36" s="11" t="s">
        <v>31</v>
      </c>
    </row>
    <row r="37" spans="4:29" s="1" customFormat="1" x14ac:dyDescent="0.4">
      <c r="D37" s="11"/>
      <c r="E37" s="6" t="s">
        <v>34</v>
      </c>
      <c r="F37" s="6" t="s">
        <v>18</v>
      </c>
    </row>
    <row r="38" spans="4:29" s="1" customFormat="1" x14ac:dyDescent="0.4">
      <c r="D38" s="1" t="s">
        <v>32</v>
      </c>
      <c r="E38" s="35">
        <v>0.2</v>
      </c>
      <c r="F38" s="36">
        <f>NPV(E38,$J$26:$T$26)</f>
        <v>0.13310185185185194</v>
      </c>
    </row>
    <row r="39" spans="4:29" s="1" customFormat="1" x14ac:dyDescent="0.4">
      <c r="D39" s="1" t="s">
        <v>33</v>
      </c>
      <c r="E39" s="35">
        <v>0.3</v>
      </c>
      <c r="F39" s="36">
        <f>NPV(E39,$J$26:$T$26)</f>
        <v>-0.21217744476734035</v>
      </c>
    </row>
    <row r="40" spans="4:29" s="1" customFormat="1" x14ac:dyDescent="0.4">
      <c r="D40" s="9" t="s">
        <v>31</v>
      </c>
      <c r="E40" s="13"/>
      <c r="F40" s="13"/>
      <c r="G40" s="38">
        <f>E38 + ( F38/(F38-F39) * (E39-E38) )</f>
        <v>0.23854903932993402</v>
      </c>
    </row>
    <row r="41" spans="4:29" s="1" customFormat="1" ht="13.5" customHeight="1" x14ac:dyDescent="0.4">
      <c r="D41" s="9" t="s">
        <v>45</v>
      </c>
      <c r="G41" s="42">
        <f>G40-G29</f>
        <v>4.7971108016774677E-3</v>
      </c>
    </row>
    <row r="42" spans="4:29" s="1" customFormat="1" ht="13.5" customHeight="1" x14ac:dyDescent="0.4"/>
    <row r="43" spans="4:29" s="1" customFormat="1" ht="13.5" customHeight="1" x14ac:dyDescent="0.4"/>
    <row r="44" spans="4:29" s="1" customFormat="1" ht="13.5" customHeight="1" x14ac:dyDescent="0.5">
      <c r="D44" s="5" t="s">
        <v>37</v>
      </c>
    </row>
    <row r="45" spans="4:29" s="1" customFormat="1" x14ac:dyDescent="0.4">
      <c r="K45" s="7">
        <v>1</v>
      </c>
      <c r="L45" s="7">
        <f>K45+1</f>
        <v>2</v>
      </c>
      <c r="M45" s="7">
        <f t="shared" ref="M45:AC45" si="6">L45+1</f>
        <v>3</v>
      </c>
      <c r="N45" s="7">
        <f t="shared" si="6"/>
        <v>4</v>
      </c>
      <c r="O45" s="7">
        <f t="shared" si="6"/>
        <v>5</v>
      </c>
      <c r="P45" s="7">
        <f t="shared" si="6"/>
        <v>6</v>
      </c>
      <c r="Q45" s="7">
        <f t="shared" si="6"/>
        <v>7</v>
      </c>
      <c r="R45" s="7">
        <f t="shared" si="6"/>
        <v>8</v>
      </c>
      <c r="S45" s="7">
        <f t="shared" si="6"/>
        <v>9</v>
      </c>
      <c r="T45" s="7">
        <f t="shared" si="6"/>
        <v>10</v>
      </c>
      <c r="U45" s="7">
        <f t="shared" si="6"/>
        <v>11</v>
      </c>
      <c r="V45" s="7">
        <f t="shared" si="6"/>
        <v>12</v>
      </c>
      <c r="W45" s="7">
        <f t="shared" si="6"/>
        <v>13</v>
      </c>
      <c r="X45" s="7">
        <f t="shared" si="6"/>
        <v>14</v>
      </c>
      <c r="Y45" s="7">
        <f t="shared" si="6"/>
        <v>15</v>
      </c>
      <c r="Z45" s="7">
        <f t="shared" si="6"/>
        <v>16</v>
      </c>
      <c r="AA45" s="7">
        <f t="shared" si="6"/>
        <v>17</v>
      </c>
      <c r="AB45" s="7">
        <f t="shared" si="6"/>
        <v>18</v>
      </c>
      <c r="AC45" s="7">
        <f t="shared" si="6"/>
        <v>19</v>
      </c>
    </row>
    <row r="46" spans="4:29" s="1" customFormat="1" x14ac:dyDescent="0.4">
      <c r="K46" s="4">
        <v>42826</v>
      </c>
      <c r="L46" s="4">
        <f t="shared" ref="L46:AC46" si="7">K47+1</f>
        <v>42917</v>
      </c>
      <c r="M46" s="4">
        <f t="shared" si="7"/>
        <v>43009</v>
      </c>
      <c r="N46" s="4">
        <f t="shared" si="7"/>
        <v>43101</v>
      </c>
      <c r="O46" s="4">
        <f t="shared" si="7"/>
        <v>43191</v>
      </c>
      <c r="P46" s="4">
        <f t="shared" si="7"/>
        <v>43282</v>
      </c>
      <c r="Q46" s="4">
        <f t="shared" si="7"/>
        <v>43374</v>
      </c>
      <c r="R46" s="4">
        <f t="shared" si="7"/>
        <v>43466</v>
      </c>
      <c r="S46" s="4">
        <f t="shared" si="7"/>
        <v>43556</v>
      </c>
      <c r="T46" s="4">
        <f t="shared" si="7"/>
        <v>43647</v>
      </c>
      <c r="U46" s="4">
        <f t="shared" si="7"/>
        <v>43739</v>
      </c>
      <c r="V46" s="4">
        <f t="shared" si="7"/>
        <v>43831</v>
      </c>
      <c r="W46" s="4">
        <f t="shared" si="7"/>
        <v>43922</v>
      </c>
      <c r="X46" s="4">
        <f t="shared" si="7"/>
        <v>44013</v>
      </c>
      <c r="Y46" s="4">
        <f t="shared" si="7"/>
        <v>44105</v>
      </c>
      <c r="Z46" s="4">
        <f t="shared" si="7"/>
        <v>44197</v>
      </c>
      <c r="AA46" s="4">
        <f t="shared" si="7"/>
        <v>44287</v>
      </c>
      <c r="AB46" s="4">
        <f t="shared" si="7"/>
        <v>44378</v>
      </c>
      <c r="AC46" s="4">
        <f t="shared" si="7"/>
        <v>44470</v>
      </c>
    </row>
    <row r="47" spans="4:29" s="1" customFormat="1" x14ac:dyDescent="0.4">
      <c r="K47" s="4">
        <f>EOMONTH(K46,2)</f>
        <v>42916</v>
      </c>
      <c r="L47" s="4">
        <f t="shared" ref="L47:AC47" si="8">EOMONTH(L46,2)</f>
        <v>43008</v>
      </c>
      <c r="M47" s="4">
        <f t="shared" si="8"/>
        <v>43100</v>
      </c>
      <c r="N47" s="4">
        <f t="shared" si="8"/>
        <v>43190</v>
      </c>
      <c r="O47" s="4">
        <f t="shared" si="8"/>
        <v>43281</v>
      </c>
      <c r="P47" s="4">
        <f t="shared" si="8"/>
        <v>43373</v>
      </c>
      <c r="Q47" s="4">
        <f t="shared" si="8"/>
        <v>43465</v>
      </c>
      <c r="R47" s="4">
        <f t="shared" si="8"/>
        <v>43555</v>
      </c>
      <c r="S47" s="4">
        <f t="shared" si="8"/>
        <v>43646</v>
      </c>
      <c r="T47" s="4">
        <f t="shared" si="8"/>
        <v>43738</v>
      </c>
      <c r="U47" s="4">
        <f t="shared" si="8"/>
        <v>43830</v>
      </c>
      <c r="V47" s="4">
        <f t="shared" si="8"/>
        <v>43921</v>
      </c>
      <c r="W47" s="4">
        <f t="shared" si="8"/>
        <v>44012</v>
      </c>
      <c r="X47" s="4">
        <f t="shared" si="8"/>
        <v>44104</v>
      </c>
      <c r="Y47" s="4">
        <f t="shared" si="8"/>
        <v>44196</v>
      </c>
      <c r="Z47" s="4">
        <f t="shared" si="8"/>
        <v>44286</v>
      </c>
      <c r="AA47" s="4">
        <f t="shared" si="8"/>
        <v>44377</v>
      </c>
      <c r="AB47" s="4">
        <f t="shared" si="8"/>
        <v>44469</v>
      </c>
      <c r="AC47" s="4">
        <f t="shared" si="8"/>
        <v>44561</v>
      </c>
    </row>
    <row r="48" spans="4:29" x14ac:dyDescent="0.4">
      <c r="D48" t="s">
        <v>19</v>
      </c>
      <c r="E48" s="1" t="s">
        <v>0</v>
      </c>
      <c r="J48" s="40" t="str">
        <f>IF($F$51=D48,"u","w")</f>
        <v>u</v>
      </c>
      <c r="K48" s="14">
        <v>-1E-4</v>
      </c>
      <c r="L48" s="14"/>
      <c r="M48" s="14"/>
      <c r="N48" s="14">
        <v>-3</v>
      </c>
      <c r="O48" s="14"/>
      <c r="P48" s="14"/>
      <c r="Q48" s="14"/>
      <c r="R48" s="14">
        <v>1.5</v>
      </c>
      <c r="S48" s="14"/>
      <c r="T48" s="14"/>
      <c r="U48" s="14"/>
      <c r="V48" s="14">
        <v>1.5</v>
      </c>
      <c r="W48" s="14"/>
      <c r="X48" s="14"/>
      <c r="Y48" s="14"/>
      <c r="Z48" s="14">
        <v>1.5</v>
      </c>
      <c r="AA48" s="14"/>
      <c r="AB48" s="14"/>
      <c r="AC48" s="14"/>
    </row>
    <row r="49" spans="4:29" s="1" customFormat="1" x14ac:dyDescent="0.4">
      <c r="D49" s="1" t="s">
        <v>20</v>
      </c>
      <c r="E49" s="1" t="s">
        <v>0</v>
      </c>
      <c r="J49" s="40" t="str">
        <f t="shared" ref="J49:J50" si="9">IF($F$51=D49,"t","w")</f>
        <v>w</v>
      </c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4:29" s="1" customFormat="1" x14ac:dyDescent="0.4">
      <c r="D50" s="1" t="s">
        <v>21</v>
      </c>
      <c r="E50" s="1" t="s">
        <v>0</v>
      </c>
      <c r="J50" s="40" t="str">
        <f t="shared" si="9"/>
        <v>w</v>
      </c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4:29" s="1" customFormat="1" x14ac:dyDescent="0.4">
      <c r="D51" s="1" t="s">
        <v>22</v>
      </c>
      <c r="E51" s="1" t="s">
        <v>0</v>
      </c>
      <c r="F51" s="44" t="s">
        <v>19</v>
      </c>
      <c r="G51" s="45"/>
      <c r="K51" s="1">
        <f>INDEX(K48:K50,MATCH($F$51,$D$48:$D$50,0))</f>
        <v>-1E-4</v>
      </c>
      <c r="L51" s="1">
        <f t="shared" ref="L51:AC51" si="10">INDEX(L48:L50,MATCH($F$51,$D$48:$D$50,0))</f>
        <v>0</v>
      </c>
      <c r="M51" s="1">
        <f t="shared" si="10"/>
        <v>0</v>
      </c>
      <c r="N51" s="1">
        <f t="shared" si="10"/>
        <v>-3</v>
      </c>
      <c r="O51" s="1">
        <f t="shared" si="10"/>
        <v>0</v>
      </c>
      <c r="P51" s="1">
        <f t="shared" si="10"/>
        <v>0</v>
      </c>
      <c r="Q51" s="1">
        <f t="shared" si="10"/>
        <v>0</v>
      </c>
      <c r="R51" s="1">
        <f t="shared" si="10"/>
        <v>1.5</v>
      </c>
      <c r="S51" s="1">
        <f t="shared" si="10"/>
        <v>0</v>
      </c>
      <c r="T51" s="1">
        <f t="shared" si="10"/>
        <v>0</v>
      </c>
      <c r="U51" s="1">
        <f t="shared" si="10"/>
        <v>0</v>
      </c>
      <c r="V51" s="1">
        <f t="shared" si="10"/>
        <v>1.5</v>
      </c>
      <c r="W51" s="1">
        <f t="shared" si="10"/>
        <v>0</v>
      </c>
      <c r="X51" s="1">
        <f t="shared" si="10"/>
        <v>0</v>
      </c>
      <c r="Y51" s="1">
        <f t="shared" si="10"/>
        <v>0</v>
      </c>
      <c r="Z51" s="1">
        <f t="shared" si="10"/>
        <v>1.5</v>
      </c>
      <c r="AA51" s="1">
        <f t="shared" si="10"/>
        <v>0</v>
      </c>
      <c r="AB51" s="1">
        <f t="shared" si="10"/>
        <v>0</v>
      </c>
      <c r="AC51" s="1">
        <f t="shared" si="10"/>
        <v>0</v>
      </c>
    </row>
    <row r="52" spans="4:29" s="1" customFormat="1" x14ac:dyDescent="0.4"/>
    <row r="53" spans="4:29" x14ac:dyDescent="0.4">
      <c r="D53" s="27"/>
      <c r="F53" s="6" t="s">
        <v>14</v>
      </c>
      <c r="G53" s="6" t="s">
        <v>15</v>
      </c>
      <c r="P53" s="1"/>
      <c r="Q53" s="1"/>
      <c r="V53" s="1"/>
      <c r="W53" s="1"/>
      <c r="X53" s="1"/>
      <c r="Y53" s="1"/>
      <c r="Z53" s="1"/>
      <c r="AA53" s="1"/>
      <c r="AB53" s="1"/>
      <c r="AC53" s="1"/>
    </row>
    <row r="54" spans="4:29" x14ac:dyDescent="0.4">
      <c r="D54" s="1" t="s">
        <v>36</v>
      </c>
      <c r="F54" s="19">
        <f>XNPV(DiscountRate.Project.PA,$K$51:$AC$51,$K$47:$AC$47)</f>
        <v>0.67917827014523469</v>
      </c>
      <c r="G54" s="12">
        <f>XIRR($K$51:$AC$51,$K$47:$AC$47,IRR.StartingPoint)</f>
        <v>0.233499401807785</v>
      </c>
      <c r="H54" s="17"/>
    </row>
    <row r="55" spans="4:29" x14ac:dyDescent="0.4">
      <c r="D55" s="27"/>
      <c r="G55" s="43">
        <f>G54</f>
        <v>0.233499401807785</v>
      </c>
    </row>
    <row r="56" spans="4:29" s="1" customFormat="1" x14ac:dyDescent="0.4">
      <c r="D56" s="27"/>
    </row>
    <row r="57" spans="4:29" s="1" customFormat="1" ht="15.75" x14ac:dyDescent="0.5">
      <c r="D57" s="5" t="s">
        <v>40</v>
      </c>
    </row>
    <row r="58" spans="4:29" s="1" customFormat="1" x14ac:dyDescent="0.4">
      <c r="D58" s="18" t="s">
        <v>12</v>
      </c>
      <c r="J58" s="7">
        <v>0</v>
      </c>
      <c r="K58" s="7">
        <f>J58+1</f>
        <v>1</v>
      </c>
      <c r="L58" s="7">
        <f t="shared" ref="L58:AC58" si="11">K58+1</f>
        <v>2</v>
      </c>
      <c r="M58" s="7">
        <f t="shared" si="11"/>
        <v>3</v>
      </c>
      <c r="N58" s="7">
        <f t="shared" si="11"/>
        <v>4</v>
      </c>
      <c r="O58" s="7">
        <f t="shared" si="11"/>
        <v>5</v>
      </c>
      <c r="P58" s="7">
        <f t="shared" si="11"/>
        <v>6</v>
      </c>
      <c r="Q58" s="7">
        <f t="shared" si="11"/>
        <v>7</v>
      </c>
      <c r="R58" s="7">
        <f t="shared" si="11"/>
        <v>8</v>
      </c>
      <c r="S58" s="7">
        <f t="shared" si="11"/>
        <v>9</v>
      </c>
      <c r="T58" s="7">
        <f t="shared" si="11"/>
        <v>10</v>
      </c>
      <c r="U58" s="7">
        <f t="shared" si="11"/>
        <v>11</v>
      </c>
      <c r="V58" s="7">
        <f t="shared" si="11"/>
        <v>12</v>
      </c>
      <c r="W58" s="7">
        <f t="shared" si="11"/>
        <v>13</v>
      </c>
      <c r="X58" s="7">
        <f t="shared" si="11"/>
        <v>14</v>
      </c>
      <c r="Y58" s="7">
        <f t="shared" si="11"/>
        <v>15</v>
      </c>
      <c r="Z58" s="7">
        <f t="shared" si="11"/>
        <v>16</v>
      </c>
      <c r="AA58" s="7">
        <f t="shared" si="11"/>
        <v>17</v>
      </c>
      <c r="AB58" s="7">
        <f t="shared" si="11"/>
        <v>18</v>
      </c>
      <c r="AC58" s="7">
        <f t="shared" si="11"/>
        <v>19</v>
      </c>
    </row>
    <row r="59" spans="4:29" s="1" customFormat="1" x14ac:dyDescent="0.4">
      <c r="J59" s="4">
        <v>42736</v>
      </c>
      <c r="K59" s="4">
        <f>J60+1</f>
        <v>42826</v>
      </c>
      <c r="L59" s="4">
        <f t="shared" ref="L59:AC59" si="12">K60+1</f>
        <v>42917</v>
      </c>
      <c r="M59" s="4">
        <f t="shared" si="12"/>
        <v>43009</v>
      </c>
      <c r="N59" s="4">
        <f t="shared" si="12"/>
        <v>43101</v>
      </c>
      <c r="O59" s="4">
        <f t="shared" si="12"/>
        <v>43191</v>
      </c>
      <c r="P59" s="4">
        <f t="shared" si="12"/>
        <v>43282</v>
      </c>
      <c r="Q59" s="4">
        <f t="shared" si="12"/>
        <v>43374</v>
      </c>
      <c r="R59" s="4">
        <f t="shared" si="12"/>
        <v>43466</v>
      </c>
      <c r="S59" s="4">
        <f t="shared" si="12"/>
        <v>43556</v>
      </c>
      <c r="T59" s="4">
        <f t="shared" si="12"/>
        <v>43647</v>
      </c>
      <c r="U59" s="4">
        <f t="shared" si="12"/>
        <v>43739</v>
      </c>
      <c r="V59" s="4">
        <f t="shared" si="12"/>
        <v>43831</v>
      </c>
      <c r="W59" s="4">
        <f t="shared" si="12"/>
        <v>43922</v>
      </c>
      <c r="X59" s="4">
        <f t="shared" si="12"/>
        <v>44013</v>
      </c>
      <c r="Y59" s="4">
        <f t="shared" si="12"/>
        <v>44105</v>
      </c>
      <c r="Z59" s="4">
        <f t="shared" si="12"/>
        <v>44197</v>
      </c>
      <c r="AA59" s="4">
        <f t="shared" si="12"/>
        <v>44287</v>
      </c>
      <c r="AB59" s="4">
        <f t="shared" si="12"/>
        <v>44378</v>
      </c>
      <c r="AC59" s="4">
        <f t="shared" si="12"/>
        <v>44470</v>
      </c>
    </row>
    <row r="60" spans="4:29" x14ac:dyDescent="0.4">
      <c r="D60" s="11" t="s">
        <v>8</v>
      </c>
      <c r="J60" s="4">
        <f>EOMONTH(J59,2)</f>
        <v>42825</v>
      </c>
      <c r="K60" s="4">
        <f t="shared" ref="K60" si="13">EOMONTH(K59,2)</f>
        <v>42916</v>
      </c>
      <c r="L60" s="4">
        <f t="shared" ref="L60" si="14">EOMONTH(L59,2)</f>
        <v>43008</v>
      </c>
      <c r="M60" s="4">
        <f t="shared" ref="M60" si="15">EOMONTH(M59,2)</f>
        <v>43100</v>
      </c>
      <c r="N60" s="4">
        <f t="shared" ref="N60" si="16">EOMONTH(N59,2)</f>
        <v>43190</v>
      </c>
      <c r="O60" s="4">
        <f t="shared" ref="O60" si="17">EOMONTH(O59,2)</f>
        <v>43281</v>
      </c>
      <c r="P60" s="4">
        <f t="shared" ref="P60" si="18">EOMONTH(P59,2)</f>
        <v>43373</v>
      </c>
      <c r="Q60" s="4">
        <f t="shared" ref="Q60" si="19">EOMONTH(Q59,2)</f>
        <v>43465</v>
      </c>
      <c r="R60" s="4">
        <f t="shared" ref="R60" si="20">EOMONTH(R59,2)</f>
        <v>43555</v>
      </c>
      <c r="S60" s="4">
        <f t="shared" ref="S60" si="21">EOMONTH(S59,2)</f>
        <v>43646</v>
      </c>
      <c r="T60" s="4">
        <f t="shared" ref="T60" si="22">EOMONTH(T59,2)</f>
        <v>43738</v>
      </c>
      <c r="U60" s="4">
        <f t="shared" ref="U60" si="23">EOMONTH(U59,2)</f>
        <v>43830</v>
      </c>
      <c r="V60" s="4">
        <f t="shared" ref="V60" si="24">EOMONTH(V59,2)</f>
        <v>43921</v>
      </c>
      <c r="W60" s="4">
        <f t="shared" ref="W60" si="25">EOMONTH(W59,2)</f>
        <v>44012</v>
      </c>
      <c r="X60" s="4">
        <f t="shared" ref="X60" si="26">EOMONTH(X59,2)</f>
        <v>44104</v>
      </c>
      <c r="Y60" s="4">
        <f t="shared" ref="Y60" si="27">EOMONTH(Y59,2)</f>
        <v>44196</v>
      </c>
      <c r="Z60" s="4">
        <f t="shared" ref="Z60" si="28">EOMONTH(Z59,2)</f>
        <v>44286</v>
      </c>
      <c r="AA60" s="4">
        <f t="shared" ref="AA60" si="29">EOMONTH(AA59,2)</f>
        <v>44377</v>
      </c>
      <c r="AB60" s="4">
        <f t="shared" ref="AB60" si="30">EOMONTH(AB59,2)</f>
        <v>44469</v>
      </c>
      <c r="AC60" s="4">
        <f t="shared" ref="AC60" si="31">EOMONTH(AC59,2)</f>
        <v>44561</v>
      </c>
    </row>
    <row r="61" spans="4:29" x14ac:dyDescent="0.4">
      <c r="D61" t="s">
        <v>11</v>
      </c>
      <c r="K61" s="17">
        <f>K60-K59+1</f>
        <v>91</v>
      </c>
      <c r="L61" s="17">
        <f t="shared" ref="L61:AC61" si="32">L60-L59+1</f>
        <v>92</v>
      </c>
      <c r="M61" s="17">
        <f t="shared" si="32"/>
        <v>92</v>
      </c>
      <c r="N61" s="17">
        <f t="shared" si="32"/>
        <v>90</v>
      </c>
      <c r="O61" s="17">
        <f t="shared" si="32"/>
        <v>91</v>
      </c>
      <c r="P61" s="17">
        <f t="shared" si="32"/>
        <v>92</v>
      </c>
      <c r="Q61" s="17">
        <f t="shared" si="32"/>
        <v>92</v>
      </c>
      <c r="R61" s="17">
        <f t="shared" si="32"/>
        <v>90</v>
      </c>
      <c r="S61" s="17">
        <f t="shared" si="32"/>
        <v>91</v>
      </c>
      <c r="T61" s="17">
        <f t="shared" si="32"/>
        <v>92</v>
      </c>
      <c r="U61" s="17">
        <f t="shared" si="32"/>
        <v>92</v>
      </c>
      <c r="V61" s="17">
        <f t="shared" si="32"/>
        <v>91</v>
      </c>
      <c r="W61" s="17">
        <f t="shared" si="32"/>
        <v>91</v>
      </c>
      <c r="X61" s="17">
        <f t="shared" si="32"/>
        <v>92</v>
      </c>
      <c r="Y61" s="17">
        <f t="shared" si="32"/>
        <v>92</v>
      </c>
      <c r="Z61" s="17">
        <f t="shared" si="32"/>
        <v>90</v>
      </c>
      <c r="AA61" s="17">
        <f t="shared" si="32"/>
        <v>91</v>
      </c>
      <c r="AB61" s="17">
        <f t="shared" si="32"/>
        <v>92</v>
      </c>
      <c r="AC61" s="17">
        <f t="shared" si="32"/>
        <v>92</v>
      </c>
    </row>
    <row r="62" spans="4:29" s="1" customFormat="1" x14ac:dyDescent="0.4">
      <c r="D62" s="18" t="s">
        <v>8</v>
      </c>
      <c r="J62" s="31">
        <v>1</v>
      </c>
      <c r="K62" s="15">
        <f t="shared" ref="K62:AC62" si="33">(1+DiscountRate.Project.PA)^(K61/365) * J62</f>
        <v>1.024046836157096</v>
      </c>
      <c r="L62" s="15">
        <f t="shared" si="33"/>
        <v>1.0489457915753677</v>
      </c>
      <c r="M62" s="15">
        <f t="shared" si="33"/>
        <v>1.0744501470193331</v>
      </c>
      <c r="N62" s="15">
        <f t="shared" si="33"/>
        <v>1.1000000000000001</v>
      </c>
      <c r="O62" s="15">
        <f t="shared" si="33"/>
        <v>1.1264515197728058</v>
      </c>
      <c r="P62" s="15">
        <f t="shared" si="33"/>
        <v>1.1538403707329046</v>
      </c>
      <c r="Q62" s="15">
        <f t="shared" si="33"/>
        <v>1.1818951617212665</v>
      </c>
      <c r="R62" s="15">
        <f t="shared" si="33"/>
        <v>1.2100000000000002</v>
      </c>
      <c r="S62" s="15">
        <f t="shared" si="33"/>
        <v>1.2390966717500864</v>
      </c>
      <c r="T62" s="15">
        <f t="shared" si="33"/>
        <v>1.2692244078061952</v>
      </c>
      <c r="U62" s="15">
        <f t="shared" si="33"/>
        <v>1.3000846778933932</v>
      </c>
      <c r="V62" s="15">
        <f t="shared" si="33"/>
        <v>1.3313476011330465</v>
      </c>
      <c r="W62" s="15">
        <f t="shared" si="33"/>
        <v>1.3633622987656357</v>
      </c>
      <c r="X62" s="15">
        <f t="shared" si="33"/>
        <v>1.3965114633324704</v>
      </c>
      <c r="Y62" s="15">
        <f t="shared" si="33"/>
        <v>1.4304666257712384</v>
      </c>
      <c r="Z62" s="15">
        <f t="shared" si="33"/>
        <v>1.4644823612463513</v>
      </c>
      <c r="AA62" s="15">
        <f t="shared" si="33"/>
        <v>1.4996985286421995</v>
      </c>
      <c r="AB62" s="15">
        <f t="shared" si="33"/>
        <v>1.5361626096657177</v>
      </c>
      <c r="AC62" s="15">
        <f t="shared" si="33"/>
        <v>1.5735132883483625</v>
      </c>
    </row>
    <row r="63" spans="4:29" s="1" customFormat="1" x14ac:dyDescent="0.4">
      <c r="D63" s="18" t="s">
        <v>38</v>
      </c>
      <c r="F63" s="6" t="s">
        <v>13</v>
      </c>
      <c r="G63" s="28" t="s">
        <v>15</v>
      </c>
      <c r="J63" s="1">
        <f>-Constants.Number.Tiny</f>
        <v>-1E-4</v>
      </c>
      <c r="K63" s="32">
        <f>K51</f>
        <v>-1E-4</v>
      </c>
      <c r="L63" s="32">
        <f t="shared" ref="L63:AC63" si="34">L51</f>
        <v>0</v>
      </c>
      <c r="M63" s="32">
        <f t="shared" si="34"/>
        <v>0</v>
      </c>
      <c r="N63" s="32">
        <f t="shared" si="34"/>
        <v>-3</v>
      </c>
      <c r="O63" s="32">
        <f t="shared" si="34"/>
        <v>0</v>
      </c>
      <c r="P63" s="32">
        <f t="shared" si="34"/>
        <v>0</v>
      </c>
      <c r="Q63" s="32">
        <f t="shared" si="34"/>
        <v>0</v>
      </c>
      <c r="R63" s="32">
        <f t="shared" si="34"/>
        <v>1.5</v>
      </c>
      <c r="S63" s="32">
        <f t="shared" si="34"/>
        <v>0</v>
      </c>
      <c r="T63" s="32">
        <f t="shared" si="34"/>
        <v>0</v>
      </c>
      <c r="U63" s="32">
        <f t="shared" si="34"/>
        <v>0</v>
      </c>
      <c r="V63" s="32">
        <f t="shared" si="34"/>
        <v>1.5</v>
      </c>
      <c r="W63" s="32">
        <f t="shared" si="34"/>
        <v>0</v>
      </c>
      <c r="X63" s="32">
        <f t="shared" si="34"/>
        <v>0</v>
      </c>
      <c r="Y63" s="32">
        <f t="shared" si="34"/>
        <v>0</v>
      </c>
      <c r="Z63" s="32">
        <f t="shared" si="34"/>
        <v>1.5</v>
      </c>
      <c r="AA63" s="32">
        <f t="shared" si="34"/>
        <v>0</v>
      </c>
      <c r="AB63" s="32">
        <f t="shared" si="34"/>
        <v>0</v>
      </c>
      <c r="AC63" s="32">
        <f t="shared" si="34"/>
        <v>0</v>
      </c>
    </row>
    <row r="64" spans="4:29" x14ac:dyDescent="0.4">
      <c r="D64" t="s">
        <v>9</v>
      </c>
      <c r="E64" s="1" t="s">
        <v>0</v>
      </c>
      <c r="F64" s="20">
        <f>SUM(J64:AC64)</f>
        <v>0.66312969435066327</v>
      </c>
      <c r="G64" s="12">
        <f>XIRR(J63:AC63,J60:AC60,IRR.StartingPoint)</f>
        <v>0.23347217440605161</v>
      </c>
      <c r="J64" s="32">
        <f>J63/J62</f>
        <v>-1E-4</v>
      </c>
      <c r="K64" s="32">
        <f>K63/K62</f>
        <v>-9.7651783560277796E-5</v>
      </c>
      <c r="L64" s="32">
        <f t="shared" ref="L64:AC64" si="35">L63/L62</f>
        <v>0</v>
      </c>
      <c r="M64" s="32">
        <f t="shared" si="35"/>
        <v>0</v>
      </c>
      <c r="N64" s="32">
        <f t="shared" si="35"/>
        <v>-2.7272727272727271</v>
      </c>
      <c r="O64" s="32">
        <f t="shared" si="35"/>
        <v>0</v>
      </c>
      <c r="P64" s="32">
        <f t="shared" si="35"/>
        <v>0</v>
      </c>
      <c r="Q64" s="32">
        <f t="shared" si="35"/>
        <v>0</v>
      </c>
      <c r="R64" s="32">
        <f t="shared" si="35"/>
        <v>1.2396694214876032</v>
      </c>
      <c r="S64" s="32">
        <f t="shared" si="35"/>
        <v>0</v>
      </c>
      <c r="T64" s="32">
        <f t="shared" si="35"/>
        <v>0</v>
      </c>
      <c r="U64" s="32">
        <f t="shared" si="35"/>
        <v>0</v>
      </c>
      <c r="V64" s="32">
        <f t="shared" si="35"/>
        <v>1.1266779605291821</v>
      </c>
      <c r="W64" s="32">
        <f t="shared" si="35"/>
        <v>0</v>
      </c>
      <c r="X64" s="32">
        <f t="shared" si="35"/>
        <v>0</v>
      </c>
      <c r="Y64" s="32">
        <f t="shared" si="35"/>
        <v>0</v>
      </c>
      <c r="Z64" s="32">
        <f t="shared" si="35"/>
        <v>1.0242526913901655</v>
      </c>
      <c r="AA64" s="32">
        <f t="shared" si="35"/>
        <v>0</v>
      </c>
      <c r="AB64" s="32">
        <f t="shared" si="35"/>
        <v>0</v>
      </c>
      <c r="AC64" s="32">
        <f t="shared" si="35"/>
        <v>0</v>
      </c>
    </row>
    <row r="65" spans="4:29" s="1" customFormat="1" x14ac:dyDescent="0.4">
      <c r="G65" s="43">
        <f>G64</f>
        <v>0.23347217440605161</v>
      </c>
    </row>
    <row r="66" spans="4:29" s="1" customFormat="1" x14ac:dyDescent="0.4">
      <c r="G66" s="15"/>
    </row>
    <row r="67" spans="4:29" s="1" customFormat="1" ht="15.75" x14ac:dyDescent="0.5">
      <c r="D67" s="5" t="s">
        <v>41</v>
      </c>
    </row>
    <row r="68" spans="4:29" s="1" customFormat="1" x14ac:dyDescent="0.4">
      <c r="D68" s="41" t="s">
        <v>39</v>
      </c>
    </row>
    <row r="69" spans="4:29" s="1" customFormat="1" x14ac:dyDescent="0.4">
      <c r="D69" s="18" t="s">
        <v>12</v>
      </c>
      <c r="J69" s="7">
        <f>J58</f>
        <v>0</v>
      </c>
      <c r="K69" s="7">
        <f>K58</f>
        <v>1</v>
      </c>
      <c r="L69" s="7">
        <f t="shared" ref="L69:AC69" si="36">L58</f>
        <v>2</v>
      </c>
      <c r="M69" s="7">
        <f t="shared" si="36"/>
        <v>3</v>
      </c>
      <c r="N69" s="7">
        <f t="shared" si="36"/>
        <v>4</v>
      </c>
      <c r="O69" s="7">
        <f t="shared" si="36"/>
        <v>5</v>
      </c>
      <c r="P69" s="7">
        <f t="shared" si="36"/>
        <v>6</v>
      </c>
      <c r="Q69" s="7">
        <f t="shared" si="36"/>
        <v>7</v>
      </c>
      <c r="R69" s="7">
        <f t="shared" si="36"/>
        <v>8</v>
      </c>
      <c r="S69" s="7">
        <f t="shared" si="36"/>
        <v>9</v>
      </c>
      <c r="T69" s="7">
        <f t="shared" si="36"/>
        <v>10</v>
      </c>
      <c r="U69" s="7">
        <f t="shared" si="36"/>
        <v>11</v>
      </c>
      <c r="V69" s="7">
        <f t="shared" si="36"/>
        <v>12</v>
      </c>
      <c r="W69" s="7">
        <f t="shared" si="36"/>
        <v>13</v>
      </c>
      <c r="X69" s="7">
        <f t="shared" si="36"/>
        <v>14</v>
      </c>
      <c r="Y69" s="7">
        <f t="shared" si="36"/>
        <v>15</v>
      </c>
      <c r="Z69" s="7">
        <f t="shared" si="36"/>
        <v>16</v>
      </c>
      <c r="AA69" s="7">
        <f t="shared" si="36"/>
        <v>17</v>
      </c>
      <c r="AB69" s="7">
        <f t="shared" si="36"/>
        <v>18</v>
      </c>
      <c r="AC69" s="7">
        <f t="shared" si="36"/>
        <v>19</v>
      </c>
    </row>
    <row r="70" spans="4:29" s="1" customFormat="1" x14ac:dyDescent="0.4">
      <c r="K70" s="4">
        <f t="shared" ref="K70:AC70" si="37">K59</f>
        <v>42826</v>
      </c>
      <c r="L70" s="4">
        <f t="shared" si="37"/>
        <v>42917</v>
      </c>
      <c r="M70" s="4">
        <f t="shared" si="37"/>
        <v>43009</v>
      </c>
      <c r="N70" s="4">
        <f t="shared" si="37"/>
        <v>43101</v>
      </c>
      <c r="O70" s="4">
        <f t="shared" si="37"/>
        <v>43191</v>
      </c>
      <c r="P70" s="4">
        <f t="shared" si="37"/>
        <v>43282</v>
      </c>
      <c r="Q70" s="4">
        <f t="shared" si="37"/>
        <v>43374</v>
      </c>
      <c r="R70" s="4">
        <f t="shared" si="37"/>
        <v>43466</v>
      </c>
      <c r="S70" s="4">
        <f t="shared" si="37"/>
        <v>43556</v>
      </c>
      <c r="T70" s="4">
        <f t="shared" si="37"/>
        <v>43647</v>
      </c>
      <c r="U70" s="4">
        <f t="shared" si="37"/>
        <v>43739</v>
      </c>
      <c r="V70" s="4">
        <f t="shared" si="37"/>
        <v>43831</v>
      </c>
      <c r="W70" s="4">
        <f t="shared" si="37"/>
        <v>43922</v>
      </c>
      <c r="X70" s="4">
        <f t="shared" si="37"/>
        <v>44013</v>
      </c>
      <c r="Y70" s="4">
        <f t="shared" si="37"/>
        <v>44105</v>
      </c>
      <c r="Z70" s="4">
        <f t="shared" si="37"/>
        <v>44197</v>
      </c>
      <c r="AA70" s="4">
        <f t="shared" si="37"/>
        <v>44287</v>
      </c>
      <c r="AB70" s="4">
        <f t="shared" si="37"/>
        <v>44378</v>
      </c>
      <c r="AC70" s="4">
        <f t="shared" si="37"/>
        <v>44470</v>
      </c>
    </row>
    <row r="71" spans="4:29" s="1" customFormat="1" x14ac:dyDescent="0.4">
      <c r="D71" s="11" t="s">
        <v>8</v>
      </c>
      <c r="K71" s="4">
        <f t="shared" ref="K71:AC71" si="38">K60</f>
        <v>42916</v>
      </c>
      <c r="L71" s="4">
        <f t="shared" si="38"/>
        <v>43008</v>
      </c>
      <c r="M71" s="4">
        <f t="shared" si="38"/>
        <v>43100</v>
      </c>
      <c r="N71" s="4">
        <f t="shared" si="38"/>
        <v>43190</v>
      </c>
      <c r="O71" s="4">
        <f t="shared" si="38"/>
        <v>43281</v>
      </c>
      <c r="P71" s="4">
        <f t="shared" si="38"/>
        <v>43373</v>
      </c>
      <c r="Q71" s="4">
        <f t="shared" si="38"/>
        <v>43465</v>
      </c>
      <c r="R71" s="4">
        <f t="shared" si="38"/>
        <v>43555</v>
      </c>
      <c r="S71" s="4">
        <f t="shared" si="38"/>
        <v>43646</v>
      </c>
      <c r="T71" s="4">
        <f t="shared" si="38"/>
        <v>43738</v>
      </c>
      <c r="U71" s="4">
        <f t="shared" si="38"/>
        <v>43830</v>
      </c>
      <c r="V71" s="4">
        <f t="shared" si="38"/>
        <v>43921</v>
      </c>
      <c r="W71" s="4">
        <f t="shared" si="38"/>
        <v>44012</v>
      </c>
      <c r="X71" s="4">
        <f t="shared" si="38"/>
        <v>44104</v>
      </c>
      <c r="Y71" s="4">
        <f t="shared" si="38"/>
        <v>44196</v>
      </c>
      <c r="Z71" s="4">
        <f t="shared" si="38"/>
        <v>44286</v>
      </c>
      <c r="AA71" s="4">
        <f t="shared" si="38"/>
        <v>44377</v>
      </c>
      <c r="AB71" s="4">
        <f t="shared" si="38"/>
        <v>44469</v>
      </c>
      <c r="AC71" s="4">
        <f t="shared" si="38"/>
        <v>44561</v>
      </c>
    </row>
    <row r="72" spans="4:29" s="1" customFormat="1" x14ac:dyDescent="0.4">
      <c r="D72" s="1" t="s">
        <v>11</v>
      </c>
      <c r="K72" s="17">
        <f>K71-K70+1</f>
        <v>91</v>
      </c>
      <c r="L72" s="17">
        <f t="shared" ref="L72" si="39">L71-L70+1</f>
        <v>92</v>
      </c>
      <c r="M72" s="17">
        <f t="shared" ref="M72" si="40">M71-M70+1</f>
        <v>92</v>
      </c>
      <c r="N72" s="17">
        <f t="shared" ref="N72" si="41">N71-N70+1</f>
        <v>90</v>
      </c>
      <c r="O72" s="17">
        <f t="shared" ref="O72" si="42">O71-O70+1</f>
        <v>91</v>
      </c>
      <c r="P72" s="17">
        <f t="shared" ref="P72" si="43">P71-P70+1</f>
        <v>92</v>
      </c>
      <c r="Q72" s="17">
        <f t="shared" ref="Q72" si="44">Q71-Q70+1</f>
        <v>92</v>
      </c>
      <c r="R72" s="17">
        <f t="shared" ref="R72" si="45">R71-R70+1</f>
        <v>90</v>
      </c>
      <c r="S72" s="17">
        <f t="shared" ref="S72" si="46">S71-S70+1</f>
        <v>91</v>
      </c>
      <c r="T72" s="17">
        <f t="shared" ref="T72" si="47">T71-T70+1</f>
        <v>92</v>
      </c>
      <c r="U72" s="17">
        <f t="shared" ref="U72" si="48">U71-U70+1</f>
        <v>92</v>
      </c>
      <c r="V72" s="17">
        <f t="shared" ref="V72" si="49">V71-V70+1</f>
        <v>91</v>
      </c>
      <c r="W72" s="17">
        <f t="shared" ref="W72" si="50">W71-W70+1</f>
        <v>91</v>
      </c>
      <c r="X72" s="17">
        <f t="shared" ref="X72" si="51">X71-X70+1</f>
        <v>92</v>
      </c>
      <c r="Y72" s="17">
        <f t="shared" ref="Y72" si="52">Y71-Y70+1</f>
        <v>92</v>
      </c>
      <c r="Z72" s="17">
        <f t="shared" ref="Z72" si="53">Z71-Z70+1</f>
        <v>90</v>
      </c>
      <c r="AA72" s="17">
        <f t="shared" ref="AA72" si="54">AA71-AA70+1</f>
        <v>91</v>
      </c>
      <c r="AB72" s="17">
        <f t="shared" ref="AB72" si="55">AB71-AB70+1</f>
        <v>92</v>
      </c>
      <c r="AC72" s="17">
        <f t="shared" ref="AC72" si="56">AC71-AC70+1</f>
        <v>92</v>
      </c>
    </row>
    <row r="73" spans="4:29" s="1" customFormat="1" x14ac:dyDescent="0.4">
      <c r="D73" s="18" t="s">
        <v>8</v>
      </c>
      <c r="J73" s="15"/>
      <c r="K73" s="31">
        <v>1</v>
      </c>
      <c r="L73" s="15">
        <f t="shared" ref="L73:AC73" si="57">(1+DiscountRate.Project.PA)^(L72/365) * K73</f>
        <v>1.0243142740538207</v>
      </c>
      <c r="M73" s="15">
        <f t="shared" si="57"/>
        <v>1.0492197320304057</v>
      </c>
      <c r="N73" s="15">
        <f t="shared" si="57"/>
        <v>1.0741696191630559</v>
      </c>
      <c r="O73" s="15">
        <f t="shared" si="57"/>
        <v>1.1000000000000001</v>
      </c>
      <c r="P73" s="15">
        <f t="shared" si="57"/>
        <v>1.1267457014592028</v>
      </c>
      <c r="Q73" s="15">
        <f t="shared" si="57"/>
        <v>1.1541417052334464</v>
      </c>
      <c r="R73" s="15">
        <f t="shared" si="57"/>
        <v>1.1815865810793615</v>
      </c>
      <c r="S73" s="15">
        <f t="shared" si="57"/>
        <v>1.2100000000000002</v>
      </c>
      <c r="T73" s="15">
        <f t="shared" si="57"/>
        <v>1.2394202716051232</v>
      </c>
      <c r="U73" s="15">
        <f t="shared" si="57"/>
        <v>1.2695558757567911</v>
      </c>
      <c r="V73" s="15">
        <f t="shared" si="57"/>
        <v>1.3000846778933932</v>
      </c>
      <c r="W73" s="15">
        <f t="shared" si="57"/>
        <v>1.3313476011330465</v>
      </c>
      <c r="X73" s="15">
        <f t="shared" si="57"/>
        <v>1.3637183515678921</v>
      </c>
      <c r="Y73" s="15">
        <f t="shared" si="57"/>
        <v>1.3968761733001385</v>
      </c>
      <c r="Z73" s="15">
        <f t="shared" si="57"/>
        <v>1.4300931456827324</v>
      </c>
      <c r="AA73" s="15">
        <f t="shared" si="57"/>
        <v>1.4644823612463511</v>
      </c>
      <c r="AB73" s="15">
        <f t="shared" si="57"/>
        <v>1.5000901867246814</v>
      </c>
      <c r="AC73" s="15">
        <f t="shared" si="57"/>
        <v>1.5365637906301524</v>
      </c>
    </row>
    <row r="74" spans="4:29" s="1" customFormat="1" x14ac:dyDescent="0.4">
      <c r="D74" s="18" t="s">
        <v>38</v>
      </c>
      <c r="G74" s="6" t="s">
        <v>13</v>
      </c>
      <c r="J74" s="15"/>
      <c r="K74" s="32">
        <f>K51</f>
        <v>-1E-4</v>
      </c>
      <c r="L74" s="32">
        <f t="shared" ref="L74:AC74" si="58">L51</f>
        <v>0</v>
      </c>
      <c r="M74" s="32">
        <f t="shared" si="58"/>
        <v>0</v>
      </c>
      <c r="N74" s="32">
        <f t="shared" si="58"/>
        <v>-3</v>
      </c>
      <c r="O74" s="32">
        <f t="shared" si="58"/>
        <v>0</v>
      </c>
      <c r="P74" s="32">
        <f t="shared" si="58"/>
        <v>0</v>
      </c>
      <c r="Q74" s="32">
        <f t="shared" si="58"/>
        <v>0</v>
      </c>
      <c r="R74" s="32">
        <f t="shared" si="58"/>
        <v>1.5</v>
      </c>
      <c r="S74" s="32">
        <f t="shared" si="58"/>
        <v>0</v>
      </c>
      <c r="T74" s="32">
        <f t="shared" si="58"/>
        <v>0</v>
      </c>
      <c r="U74" s="32">
        <f t="shared" si="58"/>
        <v>0</v>
      </c>
      <c r="V74" s="32">
        <f t="shared" si="58"/>
        <v>1.5</v>
      </c>
      <c r="W74" s="32">
        <f t="shared" si="58"/>
        <v>0</v>
      </c>
      <c r="X74" s="32">
        <f t="shared" si="58"/>
        <v>0</v>
      </c>
      <c r="Y74" s="32">
        <f t="shared" si="58"/>
        <v>0</v>
      </c>
      <c r="Z74" s="32">
        <f t="shared" si="58"/>
        <v>1.5</v>
      </c>
      <c r="AA74" s="32">
        <f t="shared" si="58"/>
        <v>0</v>
      </c>
      <c r="AB74" s="32">
        <f t="shared" si="58"/>
        <v>0</v>
      </c>
      <c r="AC74" s="32">
        <f t="shared" si="58"/>
        <v>0</v>
      </c>
    </row>
    <row r="75" spans="4:29" s="1" customFormat="1" x14ac:dyDescent="0.4">
      <c r="D75" s="1" t="s">
        <v>9</v>
      </c>
      <c r="E75" s="1" t="s">
        <v>0</v>
      </c>
      <c r="G75" s="20">
        <f>SUM(J75:AC75)</f>
        <v>0.67917827014523469</v>
      </c>
      <c r="K75" s="32">
        <f>K74/K73</f>
        <v>-1E-4</v>
      </c>
      <c r="L75" s="32">
        <f t="shared" ref="L75:AC75" si="59">L74/L73</f>
        <v>0</v>
      </c>
      <c r="M75" s="32">
        <f t="shared" si="59"/>
        <v>0</v>
      </c>
      <c r="N75" s="32">
        <f t="shared" si="59"/>
        <v>-2.7928550077011707</v>
      </c>
      <c r="O75" s="32">
        <f t="shared" si="59"/>
        <v>0</v>
      </c>
      <c r="P75" s="32">
        <f t="shared" si="59"/>
        <v>0</v>
      </c>
      <c r="Q75" s="32">
        <f t="shared" si="59"/>
        <v>0</v>
      </c>
      <c r="R75" s="32">
        <f t="shared" si="59"/>
        <v>1.2694795489550774</v>
      </c>
      <c r="S75" s="32">
        <f t="shared" si="59"/>
        <v>0</v>
      </c>
      <c r="T75" s="32">
        <f t="shared" si="59"/>
        <v>0</v>
      </c>
      <c r="U75" s="32">
        <f t="shared" si="59"/>
        <v>0</v>
      </c>
      <c r="V75" s="32">
        <f t="shared" si="59"/>
        <v>1.1537710008478386</v>
      </c>
      <c r="W75" s="32">
        <f t="shared" si="59"/>
        <v>0</v>
      </c>
      <c r="X75" s="32">
        <f t="shared" si="59"/>
        <v>0</v>
      </c>
      <c r="Y75" s="32">
        <f t="shared" si="59"/>
        <v>0</v>
      </c>
      <c r="Z75" s="32">
        <f t="shared" si="59"/>
        <v>1.0488827280434896</v>
      </c>
      <c r="AA75" s="32">
        <f t="shared" si="59"/>
        <v>0</v>
      </c>
      <c r="AB75" s="32">
        <f t="shared" si="59"/>
        <v>0</v>
      </c>
      <c r="AC75" s="32">
        <f t="shared" si="59"/>
        <v>0</v>
      </c>
    </row>
    <row r="76" spans="4:29" s="1" customFormat="1" x14ac:dyDescent="0.4">
      <c r="G76" s="15"/>
    </row>
    <row r="77" spans="4:29" s="1" customFormat="1" ht="15.75" x14ac:dyDescent="0.5">
      <c r="D77" s="5" t="s">
        <v>16</v>
      </c>
    </row>
    <row r="78" spans="4:29" s="1" customFormat="1" x14ac:dyDescent="0.4">
      <c r="D78" s="27" t="s">
        <v>42</v>
      </c>
    </row>
    <row r="79" spans="4:29" s="1" customFormat="1" x14ac:dyDescent="0.4"/>
    <row r="80" spans="4:29" s="1" customFormat="1" x14ac:dyDescent="0.4">
      <c r="D80" s="1" t="s">
        <v>43</v>
      </c>
      <c r="E80" s="21">
        <v>0.18</v>
      </c>
    </row>
    <row r="81" spans="4:7" x14ac:dyDescent="0.4">
      <c r="D81" s="9" t="s">
        <v>44</v>
      </c>
      <c r="E81" s="21">
        <v>5.0000000000000001E-3</v>
      </c>
    </row>
    <row r="82" spans="4:7" x14ac:dyDescent="0.4">
      <c r="F82" s="24"/>
      <c r="G82" s="1"/>
    </row>
    <row r="83" spans="4:7" s="1" customFormat="1" x14ac:dyDescent="0.4">
      <c r="E83" s="28" t="s">
        <v>17</v>
      </c>
      <c r="F83" s="6" t="s">
        <v>18</v>
      </c>
    </row>
    <row r="84" spans="4:7" s="1" customFormat="1" x14ac:dyDescent="0.4">
      <c r="E84" s="13"/>
      <c r="F84" s="29">
        <f>F64</f>
        <v>0.66312969435066327</v>
      </c>
    </row>
    <row r="85" spans="4:7" x14ac:dyDescent="0.4">
      <c r="E85" s="22">
        <f>E80</f>
        <v>0.18</v>
      </c>
      <c r="F85" s="25">
        <f t="dataTable" ref="F85:F107" dt2D="0" dtr="0" r1="F19"/>
        <v>0.22057277478274862</v>
      </c>
      <c r="G85" s="1"/>
    </row>
    <row r="86" spans="4:7" x14ac:dyDescent="0.4">
      <c r="E86" s="22">
        <f>E85+$E$81</f>
        <v>0.185</v>
      </c>
      <c r="F86" s="25">
        <v>0.19773715461790342</v>
      </c>
      <c r="G86" s="1"/>
    </row>
    <row r="87" spans="4:7" x14ac:dyDescent="0.4">
      <c r="E87" s="22">
        <f t="shared" ref="E87:E107" si="60">E86+$E$81</f>
        <v>0.19</v>
      </c>
      <c r="F87" s="25">
        <v>0.1753893978357226</v>
      </c>
      <c r="G87" s="1"/>
    </row>
    <row r="88" spans="4:7" x14ac:dyDescent="0.4">
      <c r="E88" s="22">
        <f t="shared" si="60"/>
        <v>0.19500000000000001</v>
      </c>
      <c r="F88" s="25">
        <v>0.15351794521583162</v>
      </c>
      <c r="G88" s="1"/>
    </row>
    <row r="89" spans="4:7" x14ac:dyDescent="0.4">
      <c r="E89" s="22">
        <f t="shared" si="60"/>
        <v>0.2</v>
      </c>
      <c r="F89" s="25">
        <v>0.1321115545850361</v>
      </c>
      <c r="G89" s="1"/>
    </row>
    <row r="90" spans="4:7" x14ac:dyDescent="0.4">
      <c r="E90" s="22">
        <f t="shared" si="60"/>
        <v>0.20500000000000002</v>
      </c>
      <c r="F90" s="25">
        <v>0.11115929085368925</v>
      </c>
      <c r="G90" s="1"/>
    </row>
    <row r="91" spans="4:7" x14ac:dyDescent="0.4">
      <c r="E91" s="22">
        <f t="shared" si="60"/>
        <v>0.21000000000000002</v>
      </c>
      <c r="F91" s="25">
        <v>9.0650516405538895E-2</v>
      </c>
      <c r="G91" s="1"/>
    </row>
    <row r="92" spans="4:7" x14ac:dyDescent="0.4">
      <c r="E92" s="22">
        <f t="shared" si="60"/>
        <v>0.21500000000000002</v>
      </c>
      <c r="F92" s="25">
        <v>7.0574881827046854E-2</v>
      </c>
      <c r="G92" s="1"/>
    </row>
    <row r="93" spans="4:7" x14ac:dyDescent="0.4">
      <c r="E93" s="22">
        <f t="shared" si="60"/>
        <v>0.22000000000000003</v>
      </c>
      <c r="F93" s="25">
        <v>5.0922316962829228E-2</v>
      </c>
      <c r="G93" s="1"/>
    </row>
    <row r="94" spans="4:7" x14ac:dyDescent="0.4">
      <c r="E94" s="22">
        <f t="shared" si="60"/>
        <v>0.22500000000000003</v>
      </c>
      <c r="F94" s="25">
        <v>3.1683022284450413E-2</v>
      </c>
      <c r="G94" s="1"/>
    </row>
    <row r="95" spans="4:7" x14ac:dyDescent="0.4">
      <c r="E95" s="22">
        <f t="shared" si="60"/>
        <v>0.23000000000000004</v>
      </c>
      <c r="F95" s="25">
        <v>1.2847460560343138E-2</v>
      </c>
      <c r="G95" s="1"/>
    </row>
    <row r="96" spans="4:7" x14ac:dyDescent="0.4">
      <c r="E96" s="22">
        <f t="shared" si="60"/>
        <v>0.23500000000000004</v>
      </c>
      <c r="F96" s="25">
        <v>-5.5936511848656556E-3</v>
      </c>
      <c r="G96" s="1"/>
    </row>
    <row r="97" spans="5:7" x14ac:dyDescent="0.4">
      <c r="E97" s="22">
        <f t="shared" si="60"/>
        <v>0.24000000000000005</v>
      </c>
      <c r="F97" s="25">
        <v>-2.3649349432793954E-2</v>
      </c>
      <c r="G97" s="1"/>
    </row>
    <row r="98" spans="5:7" x14ac:dyDescent="0.4">
      <c r="E98" s="22">
        <f t="shared" si="60"/>
        <v>0.24500000000000005</v>
      </c>
      <c r="F98" s="25">
        <v>-4.1328431666267762E-2</v>
      </c>
      <c r="G98" s="1"/>
    </row>
    <row r="99" spans="5:7" x14ac:dyDescent="0.4">
      <c r="E99" s="22">
        <f t="shared" si="60"/>
        <v>0.25000000000000006</v>
      </c>
      <c r="F99" s="25">
        <v>-5.8639463607024545E-2</v>
      </c>
      <c r="G99" s="1"/>
    </row>
    <row r="100" spans="5:7" x14ac:dyDescent="0.4">
      <c r="E100" s="22">
        <f t="shared" si="60"/>
        <v>0.25500000000000006</v>
      </c>
      <c r="F100" s="25">
        <v>-7.559078620606452E-2</v>
      </c>
      <c r="G100" s="1"/>
    </row>
    <row r="101" spans="5:7" x14ac:dyDescent="0.4">
      <c r="E101" s="22">
        <f t="shared" si="60"/>
        <v>0.26000000000000006</v>
      </c>
      <c r="F101" s="25">
        <v>-9.2190522395979579E-2</v>
      </c>
      <c r="G101" s="1"/>
    </row>
    <row r="102" spans="5:7" x14ac:dyDescent="0.4">
      <c r="E102" s="22">
        <f t="shared" si="60"/>
        <v>0.26500000000000007</v>
      </c>
      <c r="F102" s="25">
        <v>-0.10844658361437587</v>
      </c>
      <c r="G102" s="1"/>
    </row>
    <row r="103" spans="5:7" x14ac:dyDescent="0.4">
      <c r="E103" s="22">
        <f t="shared" si="60"/>
        <v>0.27000000000000007</v>
      </c>
      <c r="F103" s="25">
        <v>-0.12436667610696184</v>
      </c>
      <c r="G103" s="1"/>
    </row>
    <row r="104" spans="5:7" x14ac:dyDescent="0.4">
      <c r="E104" s="22">
        <f t="shared" si="60"/>
        <v>0.27500000000000008</v>
      </c>
      <c r="F104" s="25">
        <v>-0.13995830701863843</v>
      </c>
      <c r="G104" s="1"/>
    </row>
    <row r="105" spans="5:7" x14ac:dyDescent="0.4">
      <c r="E105" s="22">
        <f t="shared" si="60"/>
        <v>0.28000000000000008</v>
      </c>
      <c r="F105" s="25">
        <v>-0.15522879028050285</v>
      </c>
      <c r="G105" s="1"/>
    </row>
    <row r="106" spans="5:7" x14ac:dyDescent="0.4">
      <c r="E106" s="22">
        <f t="shared" si="60"/>
        <v>0.28500000000000009</v>
      </c>
      <c r="F106" s="25">
        <v>-0.1701852523004187</v>
      </c>
      <c r="G106" s="1"/>
    </row>
    <row r="107" spans="5:7" x14ac:dyDescent="0.4">
      <c r="E107" s="23">
        <f t="shared" si="60"/>
        <v>0.29000000000000009</v>
      </c>
      <c r="F107" s="26">
        <v>-0.18483463746441509</v>
      </c>
      <c r="G107" s="1"/>
    </row>
    <row r="108" spans="5:7" x14ac:dyDescent="0.4">
      <c r="G108" s="1"/>
    </row>
    <row r="109" spans="5:7" x14ac:dyDescent="0.4"/>
    <row r="110" spans="5:7" x14ac:dyDescent="0.4"/>
  </sheetData>
  <mergeCells count="1">
    <mergeCell ref="F51:G51"/>
  </mergeCells>
  <conditionalFormatting sqref="J48:J50">
    <cfRule type="cellIs" dxfId="0" priority="1" operator="notEqual">
      <formula>"w"</formula>
    </cfRule>
  </conditionalFormatting>
  <dataValidations count="1">
    <dataValidation type="list" allowBlank="1" showInputMessage="1" showErrorMessage="1" sqref="F51:G51">
      <formula1>$D$48:$D$50</formula1>
    </dataValidation>
  </dataValidations>
  <pageMargins left="0.7" right="0.7" top="0.75" bottom="0.75" header="0.3" footer="0.3"/>
  <pageSetup paperSize="9" scale="66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Cover</vt:lpstr>
      <vt:lpstr>NPV and IRR</vt:lpstr>
      <vt:lpstr>Constants.DaysInYear</vt:lpstr>
      <vt:lpstr>Constants.MonthsInQuarter</vt:lpstr>
      <vt:lpstr>Constants.Number.Tiny</vt:lpstr>
      <vt:lpstr>Constants.QuartersInYear</vt:lpstr>
      <vt:lpstr>DiscountRate.Project.PA</vt:lpstr>
      <vt:lpstr>IRR.StartingPoint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Crawley</dc:creator>
  <cp:lastModifiedBy>Nick Crawley</cp:lastModifiedBy>
  <cp:lastPrinted>2016-10-31T02:42:36Z</cp:lastPrinted>
  <dcterms:created xsi:type="dcterms:W3CDTF">2016-02-12T04:56:13Z</dcterms:created>
  <dcterms:modified xsi:type="dcterms:W3CDTF">2017-07-13T04:53:51Z</dcterms:modified>
</cp:coreProperties>
</file>