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Nick Crawley\Dropbox\02. Business\01. Vector\04. Marketing\Webpage\Blogs\05. Project return\"/>
    </mc:Choice>
  </mc:AlternateContent>
  <bookViews>
    <workbookView xWindow="0" yWindow="0" windowWidth="11558" windowHeight="9563" tabRatio="805"/>
  </bookViews>
  <sheets>
    <sheet name="Cover" sheetId="52" r:id="rId1"/>
    <sheet name="Project return" sheetId="55" r:id="rId2"/>
  </sheets>
  <definedNames>
    <definedName name="Constant.Number.Tiny">'Project return'!$F$16</definedName>
    <definedName name="Constants.MonthsInQuarter">'Project return'!$F$12</definedName>
    <definedName name="Constants.QuartersInYear">'Project return'!$F$11</definedName>
    <definedName name="Date.Construction.End">'Project return'!$F$13</definedName>
    <definedName name="Date.Project.End">'Project return'!$F$14</definedName>
    <definedName name="DiscountRate.Project.PA">'Project return'!$F$21</definedName>
    <definedName name="DiscountRate.Project.PQ">'Project return'!$F$22</definedName>
    <definedName name="Tolerance.Tests">'Project return'!$F$15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0" i="55" l="1"/>
  <c r="K41" i="55"/>
  <c r="K42" i="55"/>
  <c r="K43" i="55"/>
  <c r="K44" i="55"/>
  <c r="K45" i="55"/>
  <c r="L40" i="55"/>
  <c r="L41" i="55"/>
  <c r="L42" i="55"/>
  <c r="L43" i="55"/>
  <c r="L44" i="55"/>
  <c r="L45" i="55"/>
  <c r="M40" i="55"/>
  <c r="M41" i="55"/>
  <c r="M42" i="55"/>
  <c r="M43" i="55"/>
  <c r="M44" i="55"/>
  <c r="M45" i="55"/>
  <c r="N40" i="55"/>
  <c r="N41" i="55"/>
  <c r="N42" i="55"/>
  <c r="N43" i="55"/>
  <c r="N44" i="55"/>
  <c r="N45" i="55"/>
  <c r="O40" i="55"/>
  <c r="O41" i="55"/>
  <c r="O42" i="55"/>
  <c r="O43" i="55"/>
  <c r="O44" i="55"/>
  <c r="O45" i="55"/>
  <c r="F21" i="55"/>
  <c r="D53" i="55"/>
  <c r="J45" i="55"/>
  <c r="K25" i="55"/>
  <c r="K26" i="55"/>
  <c r="L25" i="55"/>
  <c r="L26" i="55"/>
  <c r="P40" i="55"/>
  <c r="P41" i="55"/>
  <c r="P42" i="55"/>
  <c r="P43" i="55"/>
  <c r="P44" i="55"/>
  <c r="P45" i="55"/>
  <c r="Q40" i="55"/>
  <c r="Q41" i="55"/>
  <c r="Q42" i="55"/>
  <c r="Q43" i="55"/>
  <c r="Q44" i="55"/>
  <c r="Q45" i="55"/>
  <c r="R40" i="55"/>
  <c r="R41" i="55"/>
  <c r="R42" i="55"/>
  <c r="R43" i="55"/>
  <c r="R44" i="55"/>
  <c r="R45" i="55"/>
  <c r="S40" i="55"/>
  <c r="S41" i="55"/>
  <c r="S42" i="55"/>
  <c r="S43" i="55"/>
  <c r="S44" i="55"/>
  <c r="S45" i="55"/>
  <c r="T40" i="55"/>
  <c r="T41" i="55"/>
  <c r="T42" i="55"/>
  <c r="T43" i="55"/>
  <c r="T44" i="55"/>
  <c r="T45" i="55"/>
  <c r="U40" i="55"/>
  <c r="U41" i="55"/>
  <c r="U42" i="55"/>
  <c r="U43" i="55"/>
  <c r="U44" i="55"/>
  <c r="U45" i="55"/>
  <c r="V40" i="55"/>
  <c r="V41" i="55"/>
  <c r="V42" i="55"/>
  <c r="V43" i="55"/>
  <c r="V44" i="55"/>
  <c r="V45" i="55"/>
  <c r="W40" i="55"/>
  <c r="W41" i="55"/>
  <c r="W42" i="55"/>
  <c r="W43" i="55"/>
  <c r="W44" i="55"/>
  <c r="W45" i="55"/>
  <c r="X40" i="55"/>
  <c r="X41" i="55"/>
  <c r="X42" i="55"/>
  <c r="X43" i="55"/>
  <c r="X44" i="55"/>
  <c r="X45" i="55"/>
  <c r="Y40" i="55"/>
  <c r="Y41" i="55"/>
  <c r="Y42" i="55"/>
  <c r="Y43" i="55"/>
  <c r="Y44" i="55"/>
  <c r="Y45" i="55"/>
  <c r="Z40" i="55"/>
  <c r="Z41" i="55"/>
  <c r="Z42" i="55"/>
  <c r="Z43" i="55"/>
  <c r="Z44" i="55"/>
  <c r="Z45" i="55"/>
  <c r="AA40" i="55"/>
  <c r="AA41" i="55"/>
  <c r="AA42" i="55"/>
  <c r="AA43" i="55"/>
  <c r="AA44" i="55"/>
  <c r="AA45" i="55"/>
  <c r="AB40" i="55"/>
  <c r="AB41" i="55"/>
  <c r="AB42" i="55"/>
  <c r="AB43" i="55"/>
  <c r="AB44" i="55"/>
  <c r="AB45" i="55"/>
  <c r="AC40" i="55"/>
  <c r="AC41" i="55"/>
  <c r="AC42" i="55"/>
  <c r="AC43" i="55"/>
  <c r="AC44" i="55"/>
  <c r="AC45" i="55"/>
  <c r="M25" i="55"/>
  <c r="M26" i="55"/>
  <c r="N25" i="55"/>
  <c r="N26" i="55"/>
  <c r="O25" i="55"/>
  <c r="O26" i="55"/>
  <c r="P25" i="55"/>
  <c r="P26" i="55"/>
  <c r="Q25" i="55"/>
  <c r="Q26" i="55"/>
  <c r="R25" i="55"/>
  <c r="R26" i="55"/>
  <c r="S25" i="55"/>
  <c r="S26" i="55"/>
  <c r="T25" i="55"/>
  <c r="T26" i="55"/>
  <c r="U25" i="55"/>
  <c r="U26" i="55"/>
  <c r="V25" i="55"/>
  <c r="V26" i="55"/>
  <c r="W25" i="55"/>
  <c r="W26" i="55"/>
  <c r="X25" i="55"/>
  <c r="X26" i="55"/>
  <c r="Y25" i="55"/>
  <c r="Y26" i="55"/>
  <c r="Z25" i="55"/>
  <c r="Z26" i="55"/>
  <c r="AA25" i="55"/>
  <c r="AA26" i="55"/>
  <c r="AB25" i="55"/>
  <c r="AB26" i="55"/>
  <c r="AC25" i="55"/>
  <c r="AC26" i="55"/>
  <c r="G52" i="55"/>
  <c r="F66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Y24" i="55"/>
  <c r="Z24" i="55"/>
  <c r="AA24" i="55"/>
  <c r="AB24" i="55"/>
  <c r="AC24" i="55"/>
  <c r="AC54" i="55"/>
  <c r="AB54" i="55"/>
  <c r="AA54" i="55"/>
  <c r="Z54" i="55"/>
  <c r="Y54" i="55"/>
  <c r="X54" i="55"/>
  <c r="W54" i="55"/>
  <c r="V54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K55" i="55"/>
  <c r="L55" i="55"/>
  <c r="M55" i="55"/>
  <c r="N55" i="55"/>
  <c r="O55" i="55"/>
  <c r="P55" i="55"/>
  <c r="Q55" i="55"/>
  <c r="R55" i="55"/>
  <c r="S55" i="55"/>
  <c r="T55" i="55"/>
  <c r="U55" i="55"/>
  <c r="V55" i="55"/>
  <c r="W55" i="55"/>
  <c r="X55" i="55"/>
  <c r="Y55" i="55"/>
  <c r="Z55" i="55"/>
  <c r="AA55" i="55"/>
  <c r="AB55" i="55"/>
  <c r="AC55" i="55"/>
  <c r="K56" i="55"/>
  <c r="L56" i="55"/>
  <c r="M56" i="55"/>
  <c r="N56" i="55"/>
  <c r="O56" i="55"/>
  <c r="P56" i="55"/>
  <c r="Q56" i="55"/>
  <c r="R56" i="55"/>
  <c r="S56" i="55"/>
  <c r="T56" i="55"/>
  <c r="U56" i="55"/>
  <c r="V56" i="55"/>
  <c r="W56" i="55"/>
  <c r="X56" i="55"/>
  <c r="Y56" i="55"/>
  <c r="Z56" i="55"/>
  <c r="AA56" i="55"/>
  <c r="AB56" i="55"/>
  <c r="AC56" i="55"/>
  <c r="J56" i="55"/>
  <c r="J25" i="55"/>
  <c r="J55" i="55"/>
  <c r="J58" i="55"/>
  <c r="K57" i="55"/>
  <c r="K58" i="55"/>
  <c r="L57" i="55"/>
  <c r="L58" i="55"/>
  <c r="M57" i="55"/>
  <c r="M58" i="55"/>
  <c r="N57" i="55"/>
  <c r="N58" i="55"/>
  <c r="O57" i="55"/>
  <c r="O58" i="55"/>
  <c r="P57" i="55"/>
  <c r="P58" i="55"/>
  <c r="Q57" i="55"/>
  <c r="Q58" i="55"/>
  <c r="R57" i="55"/>
  <c r="R58" i="55"/>
  <c r="S57" i="55"/>
  <c r="S58" i="55"/>
  <c r="T57" i="55"/>
  <c r="T58" i="55"/>
  <c r="U57" i="55"/>
  <c r="U58" i="55"/>
  <c r="V57" i="55"/>
  <c r="V58" i="55"/>
  <c r="W57" i="55"/>
  <c r="W58" i="55"/>
  <c r="X57" i="55"/>
  <c r="X58" i="55"/>
  <c r="Y57" i="55"/>
  <c r="Y58" i="55"/>
  <c r="Z57" i="55"/>
  <c r="Z58" i="55"/>
  <c r="AA57" i="55"/>
  <c r="AA58" i="55"/>
  <c r="AB57" i="55"/>
  <c r="AB58" i="55"/>
  <c r="AC57" i="55"/>
  <c r="AC58" i="55"/>
  <c r="K59" i="55"/>
  <c r="L59" i="55"/>
  <c r="M59" i="55"/>
  <c r="N59" i="55"/>
  <c r="O59" i="55"/>
  <c r="P59" i="55"/>
  <c r="Q59" i="55"/>
  <c r="R59" i="55"/>
  <c r="S59" i="55"/>
  <c r="T59" i="55"/>
  <c r="U59" i="55"/>
  <c r="V59" i="55"/>
  <c r="W59" i="55"/>
  <c r="X59" i="55"/>
  <c r="Y59" i="55"/>
  <c r="Z59" i="55"/>
  <c r="AA59" i="55"/>
  <c r="AB59" i="55"/>
  <c r="AC59" i="55"/>
  <c r="J59" i="55"/>
  <c r="F22" i="55"/>
  <c r="AC29" i="55"/>
  <c r="AB29" i="55"/>
  <c r="AA29" i="55"/>
  <c r="Z29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M29" i="55"/>
  <c r="L29" i="55"/>
  <c r="K29" i="55"/>
  <c r="D40" i="55"/>
  <c r="D44" i="55"/>
  <c r="D43" i="55"/>
  <c r="D42" i="55"/>
  <c r="D41" i="55"/>
  <c r="J33" i="55"/>
  <c r="J37" i="55"/>
  <c r="J36" i="55"/>
  <c r="J35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AB28" i="55"/>
  <c r="AC28" i="55"/>
  <c r="K27" i="55"/>
  <c r="J34" i="55"/>
  <c r="AC27" i="55"/>
  <c r="AB27" i="55"/>
  <c r="AA27" i="55"/>
  <c r="Z27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M9" i="52"/>
  <c r="G59" i="55"/>
  <c r="F52" i="55"/>
</calcChain>
</file>

<file path=xl/sharedStrings.xml><?xml version="1.0" encoding="utf-8"?>
<sst xmlns="http://schemas.openxmlformats.org/spreadsheetml/2006/main" count="60" uniqueCount="44">
  <si>
    <t>$M</t>
  </si>
  <si>
    <t>% p.a.</t>
  </si>
  <si>
    <t>Quarters in a year</t>
  </si>
  <si>
    <t>[1,0]</t>
  </si>
  <si>
    <t>Months in a quarter</t>
  </si>
  <si>
    <t>Extracts required for demonstration</t>
  </si>
  <si>
    <t>Construction</t>
  </si>
  <si>
    <t>Construction ends</t>
  </si>
  <si>
    <t>Quarter</t>
  </si>
  <si>
    <t>Modelled quarter</t>
  </si>
  <si>
    <t>Quarter end date</t>
  </si>
  <si>
    <t>Phase: Operations</t>
  </si>
  <si>
    <t>Construction end</t>
  </si>
  <si>
    <t>Revenue</t>
  </si>
  <si>
    <t>d.p.</t>
  </si>
  <si>
    <t>Rounding: Tests</t>
  </si>
  <si>
    <t>% p.q.</t>
  </si>
  <si>
    <t>CapEx: Construction</t>
  </si>
  <si>
    <t>CapEx: Operations</t>
  </si>
  <si>
    <t>Operating expenditure</t>
  </si>
  <si>
    <t>Cashflows</t>
  </si>
  <si>
    <t>Tax</t>
  </si>
  <si>
    <t>Project return</t>
  </si>
  <si>
    <t>Net cashflow</t>
  </si>
  <si>
    <t>Project ends</t>
  </si>
  <si>
    <t>Discount rate</t>
  </si>
  <si>
    <t>%.p.a.</t>
  </si>
  <si>
    <t>Company base</t>
  </si>
  <si>
    <t>Applied to project</t>
  </si>
  <si>
    <t>Country risk premium</t>
  </si>
  <si>
    <t>Discount factor</t>
  </si>
  <si>
    <t>Net cashflow (PV)</t>
  </si>
  <si>
    <t>Tiny number</t>
  </si>
  <si>
    <t>Nominal cashflows indexed from 30-Jun-17</t>
  </si>
  <si>
    <t>Days in period</t>
  </si>
  <si>
    <t>Period counter</t>
  </si>
  <si>
    <t>SUM()</t>
  </si>
  <si>
    <t>XNPV()</t>
  </si>
  <si>
    <t>XIRR()</t>
  </si>
  <si>
    <t>NPV as a function of discount rate</t>
  </si>
  <si>
    <t>r</t>
  </si>
  <si>
    <t>NPV</t>
  </si>
  <si>
    <t>Project return @ 31st March 2017</t>
  </si>
  <si>
    <t>See our post on XNPV/XIRR to understand 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</si>
</sst>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#,##0_);\(#,##0\);&quot;- &quot;"/>
    <numFmt numFmtId="168" formatCode="#,##0.0_);\(#,##0.0\);\-_);"/>
    <numFmt numFmtId="169" formatCode="#,##0.0_);\(#,##0.0\);\-_);_-@_-"/>
    <numFmt numFmtId="170" formatCode="#,##0.0_);\(#,##0.0\);&quot;- &quot;"/>
    <numFmt numFmtId="171" formatCode="&quot;&quot;"/>
    <numFmt numFmtId="172" formatCode="#,##0.00_);\(#,##0.00\);&quot;- &quot;"/>
    <numFmt numFmtId="173" formatCode="#,##0.000_);\(#,##0.000\);&quot;- &quot;"/>
    <numFmt numFmtId="174" formatCode="#,##0.0000_);\(#,##0.0000\);&quot;- &quot;"/>
  </numFmts>
  <fonts count="33" x14ac:knownFonts="1">
    <font>
      <sz val="10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18"/>
      <color rgb="FF003057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1" tint="0.499984740745262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2"/>
      <color theme="0"/>
      <name val="Calibri Light"/>
      <family val="2"/>
      <scheme val="major"/>
    </font>
    <font>
      <b/>
      <sz val="12"/>
      <name val="Calibri Light"/>
      <family val="2"/>
      <scheme val="major"/>
    </font>
    <font>
      <strike/>
      <sz val="10"/>
      <color theme="1"/>
      <name val="Calibri Light"/>
      <family val="2"/>
      <scheme val="major"/>
    </font>
    <font>
      <sz val="10"/>
      <color theme="5"/>
      <name val="Calibri Light"/>
      <family val="2"/>
      <scheme val="major"/>
    </font>
    <font>
      <sz val="10"/>
      <color theme="4" tint="-0.24994659260841701"/>
      <name val="Calibri Light"/>
      <family val="2"/>
      <scheme val="major"/>
    </font>
    <font>
      <sz val="10"/>
      <color rgb="FF2F75B5"/>
      <name val="Calibri Light"/>
      <family val="2"/>
      <scheme val="major"/>
    </font>
    <font>
      <sz val="18"/>
      <color theme="5"/>
      <name val="Calibri Light"/>
      <family val="2"/>
      <scheme val="major"/>
    </font>
    <font>
      <u/>
      <sz val="10"/>
      <name val="Calibri Light"/>
      <family val="2"/>
      <scheme val="major"/>
    </font>
    <font>
      <i/>
      <sz val="10"/>
      <color theme="1"/>
      <name val="Calibri Light"/>
      <family val="2"/>
      <scheme val="maj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4">
    <xf numFmtId="170" fontId="0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4" fillId="0" borderId="0" applyNumberFormat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3" applyNumberFormat="0" applyAlignment="0" applyProtection="0"/>
    <xf numFmtId="0" fontId="8" fillId="6" borderId="4" applyNumberFormat="0" applyAlignment="0" applyProtection="0"/>
    <xf numFmtId="0" fontId="9" fillId="6" borderId="3" applyNumberFormat="0" applyAlignment="0" applyProtection="0"/>
    <xf numFmtId="0" fontId="10" fillId="0" borderId="5" applyNumberFormat="0" applyFill="0" applyAlignment="0" applyProtection="0"/>
    <xf numFmtId="0" fontId="11" fillId="7" borderId="6" applyNumberFormat="0" applyAlignment="0" applyProtection="0"/>
    <xf numFmtId="0" fontId="12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30" fillId="0" borderId="0" applyNumberFormat="0" applyFill="0"/>
    <xf numFmtId="0" fontId="28" fillId="0" borderId="0" applyNumberFormat="0" applyFill="0" applyBorder="0"/>
    <xf numFmtId="0" fontId="17" fillId="0" borderId="0" applyNumberFormat="0" applyBorder="0"/>
    <xf numFmtId="0" fontId="29" fillId="35" borderId="12" applyNumberFormat="0" applyProtection="0"/>
    <xf numFmtId="0" fontId="27" fillId="37" borderId="12" applyNumberFormat="0"/>
    <xf numFmtId="0" fontId="21" fillId="9" borderId="12" applyNumberFormat="0"/>
    <xf numFmtId="164" fontId="16" fillId="9" borderId="0" applyFont="0" applyFill="0" applyBorder="0" applyAlignment="0" applyProtection="0"/>
    <xf numFmtId="165" fontId="16" fillId="9" borderId="0" applyFont="0" applyFill="0" applyBorder="0" applyAlignment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5" fillId="33" borderId="0" applyNumberFormat="0" applyBorder="0" applyAlignment="0" applyProtection="0"/>
    <xf numFmtId="167" fontId="21" fillId="0" borderId="9" applyNumberFormat="0"/>
    <xf numFmtId="0" fontId="23" fillId="34" borderId="12" applyNumberFormat="0">
      <alignment horizontal="center"/>
    </xf>
    <xf numFmtId="169" fontId="20" fillId="0" borderId="10" applyFill="0" applyAlignment="0"/>
    <xf numFmtId="169" fontId="20" fillId="0" borderId="11" applyNumberFormat="0" applyFill="0"/>
    <xf numFmtId="43" fontId="22" fillId="36" borderId="12" applyNumberFormat="0" applyAlignment="0"/>
    <xf numFmtId="15" fontId="1" fillId="0" borderId="0" applyFont="0" applyFill="0" applyBorder="0">
      <alignment horizontal="right"/>
    </xf>
    <xf numFmtId="0" fontId="25" fillId="9" borderId="0" applyNumberFormat="0" applyFill="0" applyBorder="0">
      <alignment horizontal="left"/>
    </xf>
    <xf numFmtId="0" fontId="19" fillId="0" borderId="0" applyNumberFormat="0" applyFill="0" applyBorder="0" applyAlignment="0" applyProtection="0"/>
    <xf numFmtId="0" fontId="24" fillId="34" borderId="12" applyNumberFormat="0"/>
    <xf numFmtId="0" fontId="20" fillId="0" borderId="13" applyNumberFormat="0" applyFill="0" applyAlignment="0"/>
    <xf numFmtId="0" fontId="31" fillId="9" borderId="0" applyFill="0" applyBorder="0">
      <alignment horizontal="left"/>
    </xf>
  </cellStyleXfs>
  <cellXfs count="35">
    <xf numFmtId="170" fontId="0" fillId="0" borderId="0" xfId="0"/>
    <xf numFmtId="170" fontId="0" fillId="0" borderId="0" xfId="0"/>
    <xf numFmtId="170" fontId="26" fillId="0" borderId="0" xfId="0" applyFont="1"/>
    <xf numFmtId="170" fontId="0" fillId="0" borderId="0" xfId="0" applyBorder="1"/>
    <xf numFmtId="15" fontId="23" fillId="34" borderId="12" xfId="54" applyNumberFormat="1">
      <alignment horizontal="center"/>
    </xf>
    <xf numFmtId="170" fontId="25" fillId="0" borderId="0" xfId="59" applyNumberFormat="1" applyFill="1">
      <alignment horizontal="left"/>
    </xf>
    <xf numFmtId="170" fontId="23" fillId="34" borderId="12" xfId="54" applyNumberFormat="1">
      <alignment horizontal="center"/>
    </xf>
    <xf numFmtId="167" fontId="23" fillId="34" borderId="12" xfId="54" applyNumberFormat="1">
      <alignment horizontal="center"/>
    </xf>
    <xf numFmtId="167" fontId="27" fillId="37" borderId="12" xfId="25" applyNumberFormat="1"/>
    <xf numFmtId="170" fontId="0" fillId="0" borderId="0" xfId="0" applyFill="1" applyBorder="1"/>
    <xf numFmtId="10" fontId="29" fillId="35" borderId="12" xfId="24" applyNumberFormat="1"/>
    <xf numFmtId="170" fontId="21" fillId="9" borderId="12" xfId="26" applyNumberFormat="1"/>
    <xf numFmtId="0" fontId="31" fillId="0" borderId="0" xfId="63" applyFill="1">
      <alignment horizontal="left"/>
    </xf>
    <xf numFmtId="10" fontId="21" fillId="9" borderId="12" xfId="26" applyNumberFormat="1"/>
    <xf numFmtId="171" fontId="22" fillId="36" borderId="12" xfId="57" applyNumberFormat="1"/>
    <xf numFmtId="170" fontId="22" fillId="36" borderId="12" xfId="57" applyNumberFormat="1"/>
    <xf numFmtId="172" fontId="29" fillId="35" borderId="12" xfId="24" applyNumberFormat="1"/>
    <xf numFmtId="170" fontId="20" fillId="0" borderId="11" xfId="56" applyNumberFormat="1"/>
    <xf numFmtId="173" fontId="0" fillId="0" borderId="0" xfId="0" applyNumberFormat="1"/>
    <xf numFmtId="174" fontId="27" fillId="37" borderId="12" xfId="25" applyNumberFormat="1"/>
    <xf numFmtId="0" fontId="28" fillId="0" borderId="0" xfId="22" applyFill="1"/>
    <xf numFmtId="167" fontId="0" fillId="0" borderId="0" xfId="0" applyNumberFormat="1"/>
    <xf numFmtId="0" fontId="21" fillId="0" borderId="0" xfId="63" applyFont="1" applyFill="1">
      <alignment horizontal="left"/>
    </xf>
    <xf numFmtId="173" fontId="21" fillId="9" borderId="12" xfId="1" applyNumberFormat="1" applyFont="1" applyFill="1" applyBorder="1"/>
    <xf numFmtId="173" fontId="21" fillId="9" borderId="12" xfId="26" applyNumberFormat="1"/>
    <xf numFmtId="10" fontId="29" fillId="35" borderId="12" xfId="24" applyNumberFormat="1" applyAlignment="1">
      <alignment horizontal="center"/>
    </xf>
    <xf numFmtId="10" fontId="0" fillId="0" borderId="14" xfId="0" applyNumberFormat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170" fontId="23" fillId="0" borderId="0" xfId="0" applyFont="1"/>
    <xf numFmtId="172" fontId="0" fillId="37" borderId="16" xfId="0" applyNumberFormat="1" applyFill="1" applyBorder="1"/>
    <xf numFmtId="172" fontId="0" fillId="37" borderId="17" xfId="0" applyNumberFormat="1" applyFill="1" applyBorder="1"/>
    <xf numFmtId="170" fontId="28" fillId="0" borderId="0" xfId="22" applyNumberFormat="1"/>
    <xf numFmtId="170" fontId="23" fillId="34" borderId="12" xfId="54" quotePrefix="1" applyNumberFormat="1">
      <alignment horizontal="center"/>
    </xf>
    <xf numFmtId="170" fontId="32" fillId="0" borderId="0" xfId="0" applyFont="1"/>
    <xf numFmtId="172" fontId="21" fillId="9" borderId="12" xfId="26" applyNumberFormat="1"/>
  </cellXfs>
  <cellStyles count="64">
    <cellStyle name="20% - Accent1" xfId="30" builtinId="30" hidden="1"/>
    <cellStyle name="20% - Accent2" xfId="34" builtinId="34" hidden="1"/>
    <cellStyle name="20% - Accent3" xfId="38" builtinId="38" hidden="1"/>
    <cellStyle name="20% - Accent4" xfId="42" builtinId="42" hidden="1"/>
    <cellStyle name="20% - Accent5" xfId="46" builtinId="46" hidden="1"/>
    <cellStyle name="20% - Accent6" xfId="50" builtinId="50" hidden="1"/>
    <cellStyle name="40% - Accent1" xfId="31" builtinId="31" hidden="1"/>
    <cellStyle name="40% - Accent2" xfId="35" builtinId="35" hidden="1"/>
    <cellStyle name="40% - Accent3" xfId="39" builtinId="39" hidden="1"/>
    <cellStyle name="40% - Accent4" xfId="43" builtinId="43" hidden="1"/>
    <cellStyle name="40% - Accent5" xfId="47" builtinId="47" hidden="1"/>
    <cellStyle name="40% - Accent6" xfId="51" builtinId="51" hidden="1"/>
    <cellStyle name="60% - Accent1" xfId="32" builtinId="32" hidden="1"/>
    <cellStyle name="60% - Accent2" xfId="36" builtinId="36" hidden="1"/>
    <cellStyle name="60% - Accent3" xfId="40" builtinId="40" hidden="1"/>
    <cellStyle name="60% - Accent4" xfId="44" builtinId="44" hidden="1"/>
    <cellStyle name="60% - Accent5" xfId="48" builtinId="48" hidden="1"/>
    <cellStyle name="60% - Accent6" xfId="52" builtinId="52" hidden="1"/>
    <cellStyle name="Accent1" xfId="29" builtinId="29" hidden="1"/>
    <cellStyle name="Accent2" xfId="33" builtinId="33" hidden="1"/>
    <cellStyle name="Accent3" xfId="37" builtinId="37" hidden="1"/>
    <cellStyle name="Accent4" xfId="41" builtinId="41" hidden="1"/>
    <cellStyle name="Accent5" xfId="45" builtinId="45" hidden="1"/>
    <cellStyle name="Accent6" xfId="49" builtinId="49" hidden="1"/>
    <cellStyle name="Bad" xfId="10" builtinId="27" hidden="1"/>
    <cellStyle name="Calculation" xfId="14" builtinId="22" hidden="1"/>
    <cellStyle name="Cell.Input" xfId="24"/>
    <cellStyle name="Cell.Memo" xfId="22"/>
    <cellStyle name="Cell.System" xfId="25"/>
    <cellStyle name="Cell.Void" xfId="57"/>
    <cellStyle name="Check Cell" xfId="16" builtinId="23" hidden="1"/>
    <cellStyle name="Comma" xfId="1" builtinId="3" customBuiltin="1"/>
    <cellStyle name="Comma [0]" xfId="2" builtinId="6" customBuiltin="1"/>
    <cellStyle name="Comma 1dp" xfId="28"/>
    <cellStyle name="Comma 2dp" xfId="27"/>
    <cellStyle name="Currency" xfId="3" builtinId="4" hidden="1"/>
    <cellStyle name="Currency [0]" xfId="4" builtinId="7" hidden="1"/>
    <cellStyle name="Date" xfId="58"/>
    <cellStyle name="Explanatory Text" xfId="19" builtinId="53" hidden="1"/>
    <cellStyle name="Good" xfId="9" builtinId="26" hidden="1"/>
    <cellStyle name="Header.1" xfId="59"/>
    <cellStyle name="Header.2" xfId="63"/>
    <cellStyle name="Header.Sheet" xfId="21"/>
    <cellStyle name="Header.Table" xfId="54"/>
    <cellStyle name="Heading 1" xfId="6" builtinId="16" hidden="1"/>
    <cellStyle name="Heading 2" xfId="7" builtinId="17" hidden="1"/>
    <cellStyle name="Heading 3" xfId="8" builtinId="18" hidden="1" customBuiltin="1"/>
    <cellStyle name="Heading 4" xfId="60" builtinId="19" hidden="1"/>
    <cellStyle name="Input" xfId="12" builtinId="20" hidden="1"/>
    <cellStyle name="Line.Balance" xfId="53"/>
    <cellStyle name="Line.Calc" xfId="26"/>
    <cellStyle name="Line.Total.Multi" xfId="55"/>
    <cellStyle name="Line.Total.Simple" xfId="56"/>
    <cellStyle name="Linked Cell" xfId="15" builtinId="24" hidden="1"/>
    <cellStyle name="Neutral" xfId="11" builtinId="28" hidden="1"/>
    <cellStyle name="Normal" xfId="0" builtinId="0" customBuiltin="1"/>
    <cellStyle name="Note" xfId="18" builtinId="10" hidden="1"/>
    <cellStyle name="Note" xfId="23" builtinId="10" hidden="1" customBuiltin="1"/>
    <cellStyle name="Output" xfId="13" builtinId="21" hidden="1"/>
    <cellStyle name="TabMinor" xfId="61"/>
    <cellStyle name="TabMinorLine" xfId="62"/>
    <cellStyle name="Title" xfId="5" builtinId="15" hidden="1" customBuiltin="1"/>
    <cellStyle name="Total" xfId="20" builtinId="25" hidden="1"/>
    <cellStyle name="Warning Text" xfId="17" builtinId="11" hidden="1"/>
  </cellStyles>
  <dxfs count="3">
    <dxf>
      <font>
        <color theme="0" tint="-4.9989318521683403E-2"/>
      </font>
      <fill>
        <patternFill patternType="mediumGray">
          <fgColor theme="7"/>
          <bgColor rgb="FFFFFF00"/>
        </patternFill>
      </fill>
      <border>
        <left style="thin">
          <color theme="7" tint="-0.499984740745262"/>
        </left>
        <right style="thin">
          <color theme="7" tint="-0.499984740745262"/>
        </right>
        <top style="thin">
          <color theme="7" tint="-0.499984740745262"/>
        </top>
        <bottom style="thin">
          <color theme="7" tint="-0.499984740745262"/>
        </bottom>
        <vertical/>
        <horizontal/>
      </border>
    </dxf>
    <dxf>
      <font>
        <color rgb="FFC6E0B4"/>
      </font>
      <fill>
        <patternFill>
          <fgColor theme="0" tint="-0.24994659260841701"/>
          <bgColor rgb="FFC6E0B4"/>
        </patternFill>
      </fill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/>
        <horizontal/>
      </border>
    </dxf>
    <dxf>
      <font>
        <color theme="0" tint="-4.9989318521683403E-2"/>
      </font>
      <fill>
        <patternFill patternType="mediumGray">
          <fgColor theme="7"/>
          <bgColor rgb="FFFFFF00"/>
        </patternFill>
      </fill>
      <border>
        <left style="thin">
          <color theme="7" tint="-0.499984740745262"/>
        </left>
        <right style="thin">
          <color theme="7" tint="-0.499984740745262"/>
        </right>
        <top style="thin">
          <color theme="7" tint="-0.499984740745262"/>
        </top>
        <bottom style="thin">
          <color theme="7" tint="-0.499984740745262"/>
        </bottom>
        <vertical/>
        <horizontal/>
      </border>
    </dxf>
  </dxfs>
  <tableStyles count="0" defaultTableStyle="TableStyleMedium2" defaultPivotStyle="PivotStyleLight16"/>
  <colors>
    <mruColors>
      <color rgb="FFFF6D6D"/>
      <color rgb="FFFF1D1D"/>
      <color rgb="FFFFA3A3"/>
      <color rgb="FFFFBDBD"/>
      <color rgb="FFFFFFA7"/>
      <color rgb="FFFFFF99"/>
      <color rgb="FFF79C57"/>
      <color rgb="FFFFD1D1"/>
      <color rgb="FFF9F9F9"/>
      <color rgb="FFF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Where</a:t>
            </a:r>
            <a:r>
              <a:rPr lang="en-AU" baseline="0"/>
              <a:t> does NPV(r) cross X-axis </a:t>
            </a:r>
            <a:endParaRPr lang="en-AU"/>
          </a:p>
        </c:rich>
      </c:tx>
      <c:layout>
        <c:manualLayout>
          <c:xMode val="edge"/>
          <c:yMode val="edge"/>
          <c:x val="5.4933773634726631E-2"/>
          <c:y val="1.6501650165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'Project return'!$E$67:$E$89</c:f>
              <c:numCache>
                <c:formatCode>0.00%</c:formatCode>
                <c:ptCount val="23"/>
                <c:pt idx="0">
                  <c:v>0.13</c:v>
                </c:pt>
                <c:pt idx="1">
                  <c:v>0.13250000000000001</c:v>
                </c:pt>
                <c:pt idx="2">
                  <c:v>0.13500000000000001</c:v>
                </c:pt>
                <c:pt idx="3">
                  <c:v>0.13750000000000001</c:v>
                </c:pt>
                <c:pt idx="4">
                  <c:v>0.14000000000000001</c:v>
                </c:pt>
                <c:pt idx="5">
                  <c:v>0.14250000000000002</c:v>
                </c:pt>
                <c:pt idx="6">
                  <c:v>0.14500000000000002</c:v>
                </c:pt>
                <c:pt idx="7">
                  <c:v>0.14750000000000002</c:v>
                </c:pt>
                <c:pt idx="8">
                  <c:v>0.15000000000000002</c:v>
                </c:pt>
                <c:pt idx="9">
                  <c:v>0.15250000000000002</c:v>
                </c:pt>
                <c:pt idx="10">
                  <c:v>0.15500000000000003</c:v>
                </c:pt>
                <c:pt idx="11">
                  <c:v>0.15750000000000003</c:v>
                </c:pt>
                <c:pt idx="12">
                  <c:v>0.16000000000000003</c:v>
                </c:pt>
                <c:pt idx="13">
                  <c:v>0.16250000000000003</c:v>
                </c:pt>
                <c:pt idx="14">
                  <c:v>0.16500000000000004</c:v>
                </c:pt>
                <c:pt idx="15">
                  <c:v>0.16750000000000004</c:v>
                </c:pt>
                <c:pt idx="16">
                  <c:v>0.17000000000000004</c:v>
                </c:pt>
                <c:pt idx="17">
                  <c:v>0.17250000000000004</c:v>
                </c:pt>
                <c:pt idx="18">
                  <c:v>0.17500000000000004</c:v>
                </c:pt>
                <c:pt idx="19">
                  <c:v>0.17750000000000005</c:v>
                </c:pt>
                <c:pt idx="20">
                  <c:v>0.18000000000000005</c:v>
                </c:pt>
                <c:pt idx="21">
                  <c:v>0.18250000000000005</c:v>
                </c:pt>
                <c:pt idx="22">
                  <c:v>0.18500000000000005</c:v>
                </c:pt>
              </c:numCache>
            </c:numRef>
          </c:cat>
          <c:val>
            <c:numRef>
              <c:f>'Project return'!$F$67:$F$89</c:f>
              <c:numCache>
                <c:formatCode>#,##0.00_);\(#,##0.00\);"- "</c:formatCode>
                <c:ptCount val="23"/>
                <c:pt idx="0">
                  <c:v>6.0922234772224302</c:v>
                </c:pt>
                <c:pt idx="1">
                  <c:v>5.659866669209646</c:v>
                </c:pt>
                <c:pt idx="2">
                  <c:v>5.2317583183978202</c:v>
                </c:pt>
                <c:pt idx="3">
                  <c:v>4.8078491634370879</c:v>
                </c:pt>
                <c:pt idx="4">
                  <c:v>4.3880906211058708</c:v>
                </c:pt>
                <c:pt idx="5">
                  <c:v>3.9724347754667653</c:v>
                </c:pt>
                <c:pt idx="6">
                  <c:v>3.560834367218952</c:v>
                </c:pt>
                <c:pt idx="7">
                  <c:v>3.1532427832448882</c:v>
                </c:pt>
                <c:pt idx="8">
                  <c:v>2.749614046346176</c:v>
                </c:pt>
                <c:pt idx="9">
                  <c:v>2.3499028051654198</c:v>
                </c:pt>
                <c:pt idx="10">
                  <c:v>1.9540643242899201</c:v>
                </c:pt>
                <c:pt idx="11">
                  <c:v>1.5620544745333333</c:v>
                </c:pt>
                <c:pt idx="12">
                  <c:v>1.1738297233925126</c:v>
                </c:pt>
                <c:pt idx="13">
                  <c:v>0.78934712567522514</c:v>
                </c:pt>
                <c:pt idx="14">
                  <c:v>0.40856431429549289</c:v>
                </c:pt>
                <c:pt idx="15">
                  <c:v>3.1439491233275163E-2</c:v>
                </c:pt>
                <c:pt idx="16">
                  <c:v>-0.34206858134444662</c:v>
                </c:pt>
                <c:pt idx="17">
                  <c:v>-0.71200058980539715</c:v>
                </c:pt>
                <c:pt idx="18">
                  <c:v>-1.0783966776182172</c:v>
                </c:pt>
                <c:pt idx="19">
                  <c:v>-1.4412964537680457</c:v>
                </c:pt>
                <c:pt idx="20">
                  <c:v>-1.8007390010227367</c:v>
                </c:pt>
                <c:pt idx="21">
                  <c:v>-2.1567628840535082</c:v>
                </c:pt>
                <c:pt idx="22">
                  <c:v>-2.5094061574134594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E61-9CAF-8B660D09B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929296"/>
        <c:axId val="643661208"/>
      </c:lineChart>
      <c:catAx>
        <c:axId val="482929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661208"/>
        <c:crosses val="autoZero"/>
        <c:auto val="1"/>
        <c:lblAlgn val="ctr"/>
        <c:lblOffset val="100"/>
        <c:noMultiLvlLbl val="0"/>
      </c:catAx>
      <c:valAx>
        <c:axId val="64366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.00_);\(#,##0.00\);&quot;- &quot;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29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hyperlink" Target="http://www.VectorFinancialModelling.com.au" TargetMode="External"/><Relationship Id="rId5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58</xdr:row>
      <xdr:rowOff>0</xdr:rowOff>
    </xdr:to>
    <xdr:pic>
      <xdr:nvPicPr>
        <xdr:cNvPr id="7" name="Picture 6" descr="Contents43x29cm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6"/>
        <a:stretch/>
      </xdr:blipFill>
      <xdr:spPr>
        <a:xfrm>
          <a:off x="0" y="0"/>
          <a:ext cx="17526000" cy="9575800"/>
        </a:xfrm>
        <a:prstGeom prst="rect">
          <a:avLst/>
        </a:prstGeom>
      </xdr:spPr>
    </xdr:pic>
    <xdr:clientData/>
  </xdr:twoCellAnchor>
  <xdr:twoCellAnchor>
    <xdr:from>
      <xdr:col>5</xdr:col>
      <xdr:colOff>188267</xdr:colOff>
      <xdr:row>6</xdr:row>
      <xdr:rowOff>17929</xdr:rowOff>
    </xdr:from>
    <xdr:to>
      <xdr:col>21</xdr:col>
      <xdr:colOff>439278</xdr:colOff>
      <xdr:row>10</xdr:row>
      <xdr:rowOff>2711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657711" y="985548"/>
          <a:ext cx="8153234" cy="629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4000" b="0">
              <a:solidFill>
                <a:schemeClr val="bg1"/>
              </a:solidFill>
            </a:rPr>
            <a:t>Project finance</a:t>
          </a:r>
          <a:r>
            <a:rPr lang="en-AU" sz="4000" b="0" baseline="0">
              <a:solidFill>
                <a:schemeClr val="bg1"/>
              </a:solidFill>
            </a:rPr>
            <a:t> modelling essentials.</a:t>
          </a:r>
          <a:endParaRPr lang="en-AU" sz="400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179303</xdr:colOff>
      <xdr:row>11</xdr:row>
      <xdr:rowOff>107577</xdr:rowOff>
    </xdr:from>
    <xdr:to>
      <xdr:col>24</xdr:col>
      <xdr:colOff>252413</xdr:colOff>
      <xdr:row>15</xdr:row>
      <xdr:rowOff>17929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727241" y="1941140"/>
          <a:ext cx="9755272" cy="577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800">
              <a:solidFill>
                <a:schemeClr val="bg1"/>
              </a:solidFill>
            </a:rPr>
            <a:t>The Project Return</a:t>
          </a:r>
        </a:p>
      </xdr:txBody>
    </xdr:sp>
    <xdr:clientData/>
  </xdr:twoCellAnchor>
  <xdr:twoCellAnchor>
    <xdr:from>
      <xdr:col>5</xdr:col>
      <xdr:colOff>209614</xdr:colOff>
      <xdr:row>18</xdr:row>
      <xdr:rowOff>319</xdr:rowOff>
    </xdr:from>
    <xdr:to>
      <xdr:col>14</xdr:col>
      <xdr:colOff>353049</xdr:colOff>
      <xdr:row>21</xdr:row>
      <xdr:rowOff>80682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664511" y="2946195"/>
          <a:ext cx="4562249" cy="571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 u="none">
              <a:solidFill>
                <a:schemeClr val="bg1"/>
              </a:solidFill>
            </a:rPr>
            <a:t>Key lines and required extracts</a:t>
          </a:r>
        </a:p>
      </xdr:txBody>
    </xdr:sp>
    <xdr:clientData/>
  </xdr:twoCellAnchor>
  <xdr:twoCellAnchor>
    <xdr:from>
      <xdr:col>5</xdr:col>
      <xdr:colOff>215164</xdr:colOff>
      <xdr:row>21</xdr:row>
      <xdr:rowOff>81800</xdr:rowOff>
    </xdr:from>
    <xdr:to>
      <xdr:col>16</xdr:col>
      <xdr:colOff>349607</xdr:colOff>
      <xdr:row>39</xdr:row>
      <xdr:rowOff>145142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794852" y="3582238"/>
          <a:ext cx="5809755" cy="3063717"/>
          <a:chOff x="2483224" y="4554071"/>
          <a:chExt cx="4950317" cy="1882828"/>
        </a:xfrm>
      </xdr:grpSpPr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2483224" y="4554071"/>
            <a:ext cx="4903694" cy="3545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The project return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2529847" y="4944200"/>
            <a:ext cx="4903694" cy="1492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Basic structure</a:t>
            </a:r>
            <a:br>
              <a:rPr lang="en-AU" sz="1800" b="0">
                <a:solidFill>
                  <a:schemeClr val="bg1"/>
                </a:solidFill>
              </a:rPr>
            </a:br>
            <a:r>
              <a:rPr lang="en-AU" sz="1800" b="0">
                <a:solidFill>
                  <a:schemeClr val="bg1"/>
                </a:solidFill>
              </a:rPr>
              <a:t>- XNPV()</a:t>
            </a:r>
          </a:p>
          <a:p>
            <a:r>
              <a:rPr lang="en-AU" sz="1800" b="0">
                <a:solidFill>
                  <a:schemeClr val="bg1"/>
                </a:solidFill>
              </a:rPr>
              <a:t>- XIRR()</a:t>
            </a:r>
            <a:endParaRPr lang="en-AU" sz="1800" b="0" baseline="0">
              <a:solidFill>
                <a:schemeClr val="bg1"/>
              </a:solidFill>
            </a:endParaRPr>
          </a:p>
          <a:p>
            <a:r>
              <a:rPr lang="en-AU" sz="1800" b="0" baseline="0">
                <a:solidFill>
                  <a:schemeClr val="bg1"/>
                </a:solidFill>
              </a:rPr>
              <a:t>- Plotting the project return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204786</xdr:colOff>
      <xdr:row>0</xdr:row>
      <xdr:rowOff>39292</xdr:rowOff>
    </xdr:from>
    <xdr:to>
      <xdr:col>5</xdr:col>
      <xdr:colOff>245296</xdr:colOff>
      <xdr:row>5</xdr:row>
      <xdr:rowOff>14111</xdr:rowOff>
    </xdr:to>
    <xdr:pic>
      <xdr:nvPicPr>
        <xdr:cNvPr id="2" name="Picture 1" descr="Vector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8" t="33129" r="8171" b="40491"/>
        <a:stretch/>
      </xdr:blipFill>
      <xdr:spPr>
        <a:xfrm>
          <a:off x="600727" y="39292"/>
          <a:ext cx="3000097" cy="796584"/>
        </a:xfrm>
        <a:prstGeom prst="rect">
          <a:avLst/>
        </a:prstGeom>
      </xdr:spPr>
    </xdr:pic>
    <xdr:clientData/>
  </xdr:twoCellAnchor>
  <xdr:twoCellAnchor editAs="oneCell">
    <xdr:from>
      <xdr:col>26</xdr:col>
      <xdr:colOff>238651</xdr:colOff>
      <xdr:row>1</xdr:row>
      <xdr:rowOff>26822</xdr:rowOff>
    </xdr:from>
    <xdr:to>
      <xdr:col>29</xdr:col>
      <xdr:colOff>49973</xdr:colOff>
      <xdr:row>4</xdr:row>
      <xdr:rowOff>24175</xdr:rowOff>
    </xdr:to>
    <xdr:pic>
      <xdr:nvPicPr>
        <xdr:cNvPr id="8" name="Picture 7" descr="Alpha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DAE62B-BA11-4594-A011-F9F1C6FA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6" t="35599" r="12944" b="35275"/>
        <a:stretch/>
      </xdr:blipFill>
      <xdr:spPr>
        <a:xfrm>
          <a:off x="14258347" y="192474"/>
          <a:ext cx="1536628" cy="494310"/>
        </a:xfrm>
        <a:prstGeom prst="rect">
          <a:avLst/>
        </a:prstGeom>
      </xdr:spPr>
    </xdr:pic>
    <xdr:clientData/>
  </xdr:twoCellAnchor>
  <xdr:twoCellAnchor>
    <xdr:from>
      <xdr:col>2</xdr:col>
      <xdr:colOff>239406</xdr:colOff>
      <xdr:row>4</xdr:row>
      <xdr:rowOff>148971</xdr:rowOff>
    </xdr:from>
    <xdr:to>
      <xdr:col>12</xdr:col>
      <xdr:colOff>581728</xdr:colOff>
      <xdr:row>8</xdr:row>
      <xdr:rowOff>33130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0040EF-98B4-499F-9C92-84D145E6783F}"/>
            </a:ext>
          </a:extLst>
        </xdr:cNvPr>
        <xdr:cNvSpPr txBox="1"/>
      </xdr:nvSpPr>
      <xdr:spPr>
        <a:xfrm>
          <a:off x="631449" y="811580"/>
          <a:ext cx="6355496" cy="546767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2400" b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Modelling a Project Return</a:t>
          </a:r>
          <a:endParaRPr lang="en-AU" sz="2400" b="0">
            <a:solidFill>
              <a:schemeClr val="accent2"/>
            </a:solidFill>
            <a:latin typeface="+mj-lt"/>
            <a:cs typeface="Calibri Light" panose="020F0302020204030204" pitchFamily="34" charset="0"/>
          </a:endParaRPr>
        </a:p>
      </xdr:txBody>
    </xdr:sp>
    <xdr:clientData/>
  </xdr:twoCellAnchor>
  <xdr:twoCellAnchor>
    <xdr:from>
      <xdr:col>6</xdr:col>
      <xdr:colOff>58285</xdr:colOff>
      <xdr:row>9</xdr:row>
      <xdr:rowOff>194492</xdr:rowOff>
    </xdr:from>
    <xdr:to>
      <xdr:col>13</xdr:col>
      <xdr:colOff>45934</xdr:colOff>
      <xdr:row>15</xdr:row>
      <xdr:rowOff>41349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D2388DF0-7A88-4ABC-BE4E-D12963306C7D}"/>
            </a:ext>
          </a:extLst>
        </xdr:cNvPr>
        <xdr:cNvGrpSpPr/>
      </xdr:nvGrpSpPr>
      <xdr:grpSpPr>
        <a:xfrm>
          <a:off x="3653973" y="1694680"/>
          <a:ext cx="2964211" cy="894607"/>
          <a:chOff x="497122" y="10086438"/>
          <a:chExt cx="2561976" cy="1179448"/>
        </a:xfrm>
      </xdr:grpSpPr>
      <xdr:grpSp>
        <xdr:nvGrpSpPr>
          <xdr:cNvPr id="57" name="Group 56">
            <a:extLst>
              <a:ext uri="{FF2B5EF4-FFF2-40B4-BE49-F238E27FC236}">
                <a16:creationId xmlns:a16="http://schemas.microsoft.com/office/drawing/2014/main" id="{FC442ED3-38D6-4B36-97D2-BCB21AE0061B}"/>
              </a:ext>
            </a:extLst>
          </xdr:cNvPr>
          <xdr:cNvGrpSpPr/>
        </xdr:nvGrpSpPr>
        <xdr:grpSpPr>
          <a:xfrm>
            <a:off x="497122" y="10086438"/>
            <a:ext cx="2561976" cy="1179448"/>
            <a:chOff x="5572826" y="1336172"/>
            <a:chExt cx="2617040" cy="1089321"/>
          </a:xfrm>
        </xdr:grpSpPr>
        <xdr:grpSp>
          <xdr:nvGrpSpPr>
            <xdr:cNvPr id="59" name="Group 58">
              <a:extLst>
                <a:ext uri="{FF2B5EF4-FFF2-40B4-BE49-F238E27FC236}">
                  <a16:creationId xmlns:a16="http://schemas.microsoft.com/office/drawing/2014/main" id="{08AC7A36-3442-4B0E-9757-F3BC95BD998A}"/>
                </a:ext>
              </a:extLst>
            </xdr:cNvPr>
            <xdr:cNvGrpSpPr/>
          </xdr:nvGrpSpPr>
          <xdr:grpSpPr>
            <a:xfrm>
              <a:off x="5572826" y="1336172"/>
              <a:ext cx="2617040" cy="1087620"/>
              <a:chOff x="3581497" y="3396291"/>
              <a:chExt cx="2577300" cy="1278582"/>
            </a:xfrm>
          </xdr:grpSpPr>
          <xdr:sp macro="" textlink="">
            <xdr:nvSpPr>
              <xdr:cNvPr id="62" name="Rectangle 61">
                <a:extLst>
                  <a:ext uri="{FF2B5EF4-FFF2-40B4-BE49-F238E27FC236}">
                    <a16:creationId xmlns:a16="http://schemas.microsoft.com/office/drawing/2014/main" id="{E4C6DC1F-5B2A-4F2C-A3B3-7CCF0080D660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63" name="Straight Connector 62">
                <a:extLst>
                  <a:ext uri="{FF2B5EF4-FFF2-40B4-BE49-F238E27FC236}">
                    <a16:creationId xmlns:a16="http://schemas.microsoft.com/office/drawing/2014/main" id="{809621DB-BFE4-46F7-B77C-50C248D72D80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8" name="Isosceles Triangle 87">
                <a:extLst>
                  <a:ext uri="{FF2B5EF4-FFF2-40B4-BE49-F238E27FC236}">
                    <a16:creationId xmlns:a16="http://schemas.microsoft.com/office/drawing/2014/main" id="{7B82D711-00FE-4A28-B184-CB68CB0F8A6C}"/>
                  </a:ext>
                </a:extLst>
              </xdr:cNvPr>
              <xdr:cNvSpPr/>
            </xdr:nvSpPr>
            <xdr:spPr>
              <a:xfrm rot="16200000">
                <a:off x="3544101" y="3950671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61" name="Rectangle 60">
              <a:extLst>
                <a:ext uri="{FF2B5EF4-FFF2-40B4-BE49-F238E27FC236}">
                  <a16:creationId xmlns:a16="http://schemas.microsoft.com/office/drawing/2014/main" id="{8E54BDF7-8690-4265-A4C5-C96B46CE7098}"/>
                </a:ext>
              </a:extLst>
            </xdr:cNvPr>
            <xdr:cNvSpPr/>
          </xdr:nvSpPr>
          <xdr:spPr>
            <a:xfrm>
              <a:off x="5797834" y="1352315"/>
              <a:ext cx="2121708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Styled as Cell.System these values are not dynamic and for the benefit of transparancy / best practice.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58" name="Picture 57">
            <a:extLst>
              <a:ext uri="{FF2B5EF4-FFF2-40B4-BE49-F238E27FC236}">
                <a16:creationId xmlns:a16="http://schemas.microsoft.com/office/drawing/2014/main" id="{747DB600-DBBA-4776-A7A3-34E1123DD963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10812" y="10254327"/>
            <a:ext cx="243013" cy="314343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159005</xdr:colOff>
      <xdr:row>64</xdr:row>
      <xdr:rowOff>14288</xdr:rowOff>
    </xdr:from>
    <xdr:to>
      <xdr:col>19</xdr:col>
      <xdr:colOff>605711</xdr:colOff>
      <xdr:row>88</xdr:row>
      <xdr:rowOff>160193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CDC211-F33C-4361-908F-5FEB833D42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565618</xdr:colOff>
      <xdr:row>73</xdr:row>
      <xdr:rowOff>132291</xdr:rowOff>
    </xdr:from>
    <xdr:to>
      <xdr:col>19</xdr:col>
      <xdr:colOff>523875</xdr:colOff>
      <xdr:row>79</xdr:row>
      <xdr:rowOff>145491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88F6BD46-E02D-4B98-B813-05963744468D}"/>
            </a:ext>
          </a:extLst>
        </xdr:cNvPr>
        <xdr:cNvGrpSpPr/>
      </xdr:nvGrpSpPr>
      <xdr:grpSpPr>
        <a:xfrm>
          <a:off x="7747468" y="12386204"/>
          <a:ext cx="2868145" cy="1013325"/>
          <a:chOff x="497122" y="10086430"/>
          <a:chExt cx="2561976" cy="1179459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527CA68-748C-4365-B4A2-2BCD1C135351}"/>
              </a:ext>
            </a:extLst>
          </xdr:cNvPr>
          <xdr:cNvGrpSpPr/>
        </xdr:nvGrpSpPr>
        <xdr:grpSpPr>
          <a:xfrm>
            <a:off x="497122" y="10086430"/>
            <a:ext cx="2561976" cy="1179459"/>
            <a:chOff x="5572826" y="1336163"/>
            <a:chExt cx="2617040" cy="1089330"/>
          </a:xfrm>
        </xdr:grpSpPr>
        <xdr:grpSp>
          <xdr:nvGrpSpPr>
            <xdr:cNvPr id="17" name="Group 16">
              <a:extLst>
                <a:ext uri="{FF2B5EF4-FFF2-40B4-BE49-F238E27FC236}">
                  <a16:creationId xmlns:a16="http://schemas.microsoft.com/office/drawing/2014/main" id="{EC2E161E-8BBE-421B-9D9F-6BCB8421E47F}"/>
                </a:ext>
              </a:extLst>
            </xdr:cNvPr>
            <xdr:cNvGrpSpPr/>
          </xdr:nvGrpSpPr>
          <xdr:grpSpPr>
            <a:xfrm>
              <a:off x="5572826" y="1336163"/>
              <a:ext cx="2617040" cy="1087616"/>
              <a:chOff x="3581497" y="3396291"/>
              <a:chExt cx="2577300" cy="1278582"/>
            </a:xfrm>
          </xdr:grpSpPr>
          <xdr:sp macro="" textlink="">
            <xdr:nvSpPr>
              <xdr:cNvPr id="19" name="Rectangle 18">
                <a:extLst>
                  <a:ext uri="{FF2B5EF4-FFF2-40B4-BE49-F238E27FC236}">
                    <a16:creationId xmlns:a16="http://schemas.microsoft.com/office/drawing/2014/main" id="{2CDF0FF4-520D-4576-AF57-32414A7BFA86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20" name="Straight Connector 19">
                <a:extLst>
                  <a:ext uri="{FF2B5EF4-FFF2-40B4-BE49-F238E27FC236}">
                    <a16:creationId xmlns:a16="http://schemas.microsoft.com/office/drawing/2014/main" id="{A68CF7C4-8960-45A5-A7AA-325AD49BD33B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1" name="Isosceles Triangle 20">
                <a:extLst>
                  <a:ext uri="{FF2B5EF4-FFF2-40B4-BE49-F238E27FC236}">
                    <a16:creationId xmlns:a16="http://schemas.microsoft.com/office/drawing/2014/main" id="{AE0BDFDC-8616-412F-8819-2F34266BF7BB}"/>
                  </a:ext>
                </a:extLst>
              </xdr:cNvPr>
              <xdr:cNvSpPr/>
            </xdr:nvSpPr>
            <xdr:spPr>
              <a:xfrm rot="16200000">
                <a:off x="3544101" y="4517517"/>
                <a:ext cx="188004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18" name="Rectangle 17">
              <a:extLst>
                <a:ext uri="{FF2B5EF4-FFF2-40B4-BE49-F238E27FC236}">
                  <a16:creationId xmlns:a16="http://schemas.microsoft.com/office/drawing/2014/main" id="{FC17AD4A-E4C9-4494-B83A-1D2A997F571B}"/>
                </a:ext>
              </a:extLst>
            </xdr:cNvPr>
            <xdr:cNvSpPr/>
          </xdr:nvSpPr>
          <xdr:spPr>
            <a:xfrm>
              <a:off x="5797834" y="1352315"/>
              <a:ext cx="2121708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IRR is when NPV=0. Plotting NPV at different discount rates and looking for the place it crosses the X-axis shows the IRR. Here it is about 16.75%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6280522E-A9C7-4991-8971-86E397C32DCB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45681" y="10276213"/>
            <a:ext cx="212537" cy="310900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500060</xdr:colOff>
      <xdr:row>80</xdr:row>
      <xdr:rowOff>85044</xdr:rowOff>
    </xdr:from>
    <xdr:to>
      <xdr:col>16</xdr:col>
      <xdr:colOff>500062</xdr:colOff>
      <xdr:row>83</xdr:row>
      <xdr:rowOff>129948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79F09526-FD9F-4101-849F-A27BBD623BF7}"/>
            </a:ext>
          </a:extLst>
        </xdr:cNvPr>
        <xdr:cNvSpPr/>
      </xdr:nvSpPr>
      <xdr:spPr>
        <a:xfrm>
          <a:off x="8399006" y="12658044"/>
          <a:ext cx="615726" cy="544967"/>
        </a:xfrm>
        <a:prstGeom prst="ellipse">
          <a:avLst/>
        </a:prstGeom>
        <a:gradFill flip="none" rotWithShape="1">
          <a:gsLst>
            <a:gs pos="42000">
              <a:schemeClr val="accent5">
                <a:alpha val="12000"/>
                <a:lumMod val="12000"/>
                <a:lumOff val="88000"/>
              </a:schemeClr>
            </a:gs>
            <a:gs pos="75000">
              <a:schemeClr val="accent5">
                <a:lumMod val="45000"/>
                <a:lumOff val="55000"/>
              </a:schemeClr>
            </a:gs>
            <a:gs pos="87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16</xdr:col>
      <xdr:colOff>165325</xdr:colOff>
      <xdr:row>81</xdr:row>
      <xdr:rowOff>162606</xdr:rowOff>
    </xdr:from>
    <xdr:to>
      <xdr:col>16</xdr:col>
      <xdr:colOff>211044</xdr:colOff>
      <xdr:row>82</xdr:row>
      <xdr:rowOff>41637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E6D23867-A136-4911-B53F-7D9D4D4392F6}"/>
            </a:ext>
          </a:extLst>
        </xdr:cNvPr>
        <xdr:cNvSpPr/>
      </xdr:nvSpPr>
      <xdr:spPr>
        <a:xfrm>
          <a:off x="8679995" y="12902294"/>
          <a:ext cx="45719" cy="45718"/>
        </a:xfrm>
        <a:prstGeom prst="ellipse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9</xdr:col>
      <xdr:colOff>68789</xdr:colOff>
      <xdr:row>45</xdr:row>
      <xdr:rowOff>142875</xdr:rowOff>
    </xdr:from>
    <xdr:to>
      <xdr:col>14</xdr:col>
      <xdr:colOff>201082</xdr:colOff>
      <xdr:row>51</xdr:row>
      <xdr:rowOff>148167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3751C13C-3438-4CD0-9373-05CB9ED85068}"/>
            </a:ext>
          </a:extLst>
        </xdr:cNvPr>
        <xdr:cNvGrpSpPr/>
      </xdr:nvGrpSpPr>
      <xdr:grpSpPr>
        <a:xfrm>
          <a:off x="4297889" y="7729538"/>
          <a:ext cx="3085043" cy="1005417"/>
          <a:chOff x="497122" y="10086430"/>
          <a:chExt cx="2561976" cy="1179459"/>
        </a:xfrm>
      </xdr:grpSpPr>
      <xdr:grpSp>
        <xdr:nvGrpSpPr>
          <xdr:cNvPr id="26" name="Group 25">
            <a:extLst>
              <a:ext uri="{FF2B5EF4-FFF2-40B4-BE49-F238E27FC236}">
                <a16:creationId xmlns:a16="http://schemas.microsoft.com/office/drawing/2014/main" id="{9B526CE7-FC8A-4108-B012-4C4F68942058}"/>
              </a:ext>
            </a:extLst>
          </xdr:cNvPr>
          <xdr:cNvGrpSpPr/>
        </xdr:nvGrpSpPr>
        <xdr:grpSpPr>
          <a:xfrm>
            <a:off x="497122" y="10086430"/>
            <a:ext cx="2561976" cy="1179459"/>
            <a:chOff x="5572826" y="1336163"/>
            <a:chExt cx="2617040" cy="1089330"/>
          </a:xfrm>
        </xdr:grpSpPr>
        <xdr:grpSp>
          <xdr:nvGrpSpPr>
            <xdr:cNvPr id="28" name="Group 27">
              <a:extLst>
                <a:ext uri="{FF2B5EF4-FFF2-40B4-BE49-F238E27FC236}">
                  <a16:creationId xmlns:a16="http://schemas.microsoft.com/office/drawing/2014/main" id="{BF49FB7E-788F-4C20-B818-738462472ECB}"/>
                </a:ext>
              </a:extLst>
            </xdr:cNvPr>
            <xdr:cNvGrpSpPr/>
          </xdr:nvGrpSpPr>
          <xdr:grpSpPr>
            <a:xfrm>
              <a:off x="5572826" y="1336163"/>
              <a:ext cx="2617040" cy="1087616"/>
              <a:chOff x="3581497" y="3396291"/>
              <a:chExt cx="2577300" cy="1278582"/>
            </a:xfrm>
          </xdr:grpSpPr>
          <xdr:sp macro="" textlink="">
            <xdr:nvSpPr>
              <xdr:cNvPr id="30" name="Rectangle 29">
                <a:extLst>
                  <a:ext uri="{FF2B5EF4-FFF2-40B4-BE49-F238E27FC236}">
                    <a16:creationId xmlns:a16="http://schemas.microsoft.com/office/drawing/2014/main" id="{D85A6FB3-696E-460D-9070-CB1D59E40B36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31" name="Straight Connector 30">
                <a:extLst>
                  <a:ext uri="{FF2B5EF4-FFF2-40B4-BE49-F238E27FC236}">
                    <a16:creationId xmlns:a16="http://schemas.microsoft.com/office/drawing/2014/main" id="{95F23B29-1272-4A81-A982-3262349E3CC4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2" name="Isosceles Triangle 31">
                <a:extLst>
                  <a:ext uri="{FF2B5EF4-FFF2-40B4-BE49-F238E27FC236}">
                    <a16:creationId xmlns:a16="http://schemas.microsoft.com/office/drawing/2014/main" id="{890FCA92-061D-43F5-9BD3-C31217BE12CB}"/>
                  </a:ext>
                </a:extLst>
              </xdr:cNvPr>
              <xdr:cNvSpPr/>
            </xdr:nvSpPr>
            <xdr:spPr>
              <a:xfrm rot="16200000">
                <a:off x="3544101" y="4517517"/>
                <a:ext cx="188004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29" name="Rectangle 28">
              <a:extLst>
                <a:ext uri="{FF2B5EF4-FFF2-40B4-BE49-F238E27FC236}">
                  <a16:creationId xmlns:a16="http://schemas.microsoft.com/office/drawing/2014/main" id="{9A3A678F-B649-4364-80C8-1C25C8D83738}"/>
                </a:ext>
              </a:extLst>
            </xdr:cNvPr>
            <xdr:cNvSpPr/>
          </xdr:nvSpPr>
          <xdr:spPr>
            <a:xfrm>
              <a:off x="5797834" y="1352315"/>
              <a:ext cx="2121708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Presenting the NPV and IRR together represent the "Project Return", at  a given date, real/nominal basis and discount rate. First principles shown below.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14A1F6C9-5B7F-47AC-81DB-E0114DCAAA0F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45681" y="10276213"/>
            <a:ext cx="212537" cy="3109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ector TEST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00A0E3"/>
      </a:accent1>
      <a:accent2>
        <a:srgbClr val="052F5B"/>
      </a:accent2>
      <a:accent3>
        <a:srgbClr val="939598"/>
      </a:accent3>
      <a:accent4>
        <a:srgbClr val="D1D2D3"/>
      </a:accent4>
      <a:accent5>
        <a:srgbClr val="F47920"/>
      </a:accent5>
      <a:accent6>
        <a:srgbClr val="96BB20"/>
      </a:accent6>
      <a:hlink>
        <a:srgbClr val="0070C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60"/>
  <sheetViews>
    <sheetView showRowColHeaders="0" tabSelected="1" topLeftCell="B1" zoomScale="120" zoomScaleNormal="120" workbookViewId="0"/>
  </sheetViews>
  <sheetFormatPr defaultColWidth="0" defaultRowHeight="13.15" zeroHeight="1" x14ac:dyDescent="0.4"/>
  <cols>
    <col min="1" max="30" width="7.7109375" customWidth="1"/>
    <col min="31" max="36" width="7.7109375" hidden="1" customWidth="1"/>
    <col min="37" max="16384" width="8.78515625" hidden="1"/>
  </cols>
  <sheetData>
    <row r="1" spans="4:34" x14ac:dyDescent="0.4"/>
    <row r="2" spans="4:34" x14ac:dyDescent="0.4"/>
    <row r="3" spans="4:34" x14ac:dyDescent="0.4"/>
    <row r="4" spans="4:34" x14ac:dyDescent="0.4"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4:34" x14ac:dyDescent="0.4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4:34" x14ac:dyDescent="0.4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4:34" x14ac:dyDescent="0.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4:34" x14ac:dyDescent="0.4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AG8" s="1"/>
      <c r="AH8" s="1"/>
    </row>
    <row r="9" spans="4:34" x14ac:dyDescent="0.4">
      <c r="D9" s="1"/>
      <c r="E9" s="1"/>
      <c r="F9" s="1"/>
      <c r="G9" s="1"/>
      <c r="H9" s="1"/>
      <c r="I9" s="1"/>
      <c r="J9" s="1"/>
      <c r="K9" s="1"/>
      <c r="L9" s="1"/>
      <c r="M9" s="1">
        <f>M8</f>
        <v>0</v>
      </c>
      <c r="N9" s="1"/>
      <c r="O9" s="1"/>
      <c r="P9" s="1"/>
      <c r="Q9" s="1"/>
      <c r="R9" s="1"/>
      <c r="S9" s="1"/>
      <c r="AG9" s="1"/>
      <c r="AH9" s="1"/>
    </row>
    <row r="10" spans="4:34" x14ac:dyDescent="0.4"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AG10" s="1"/>
      <c r="AH10" s="1"/>
    </row>
    <row r="11" spans="4:34" x14ac:dyDescent="0.4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AG11" s="1"/>
      <c r="AH11" s="1"/>
    </row>
    <row r="12" spans="4:34" x14ac:dyDescent="0.4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AG12" s="1"/>
      <c r="AH12" s="1"/>
    </row>
    <row r="13" spans="4:34" x14ac:dyDescent="0.4">
      <c r="D13" s="1"/>
      <c r="E13" s="1"/>
      <c r="F13" s="1"/>
      <c r="G13" s="1"/>
      <c r="H13" s="1"/>
      <c r="I13" s="3"/>
      <c r="J13" s="1"/>
      <c r="K13" s="1"/>
      <c r="L13" s="1"/>
      <c r="M13" s="1"/>
      <c r="N13" s="1"/>
      <c r="O13" s="1"/>
      <c r="P13" s="1"/>
      <c r="Q13" s="1"/>
      <c r="R13" s="1"/>
      <c r="S13" s="1"/>
      <c r="AG13" s="1"/>
      <c r="AH13" s="1"/>
    </row>
    <row r="14" spans="4:34" x14ac:dyDescent="0.4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AG14" s="1"/>
      <c r="AH14" s="1"/>
    </row>
    <row r="15" spans="4:34" x14ac:dyDescent="0.4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AG15" s="1"/>
      <c r="AH15" s="1"/>
    </row>
    <row r="16" spans="4:34" x14ac:dyDescent="0.4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AG16" s="1"/>
      <c r="AH16" s="1"/>
    </row>
    <row r="17" spans="4:34" x14ac:dyDescent="0.4"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AG17" s="1"/>
      <c r="AH17" s="1"/>
    </row>
    <row r="18" spans="4:34" x14ac:dyDescent="0.4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AG18" s="1"/>
      <c r="AH18" s="1"/>
    </row>
    <row r="19" spans="4:34" x14ac:dyDescent="0.4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AG19" s="1"/>
      <c r="AH19" s="1"/>
    </row>
    <row r="20" spans="4:34" x14ac:dyDescent="0.4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AG20" s="1"/>
      <c r="AH20" s="1"/>
    </row>
    <row r="21" spans="4:34" x14ac:dyDescent="0.4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AG21" s="1"/>
      <c r="AH21" s="1"/>
    </row>
    <row r="22" spans="4:34" x14ac:dyDescent="0.4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AG22" s="1"/>
      <c r="AH22" s="1"/>
    </row>
    <row r="23" spans="4:34" x14ac:dyDescent="0.4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AG23" s="1"/>
      <c r="AH23" s="1"/>
    </row>
    <row r="24" spans="4:34" x14ac:dyDescent="0.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AG24" s="1"/>
      <c r="AH24" s="1"/>
    </row>
    <row r="25" spans="4:34" x14ac:dyDescent="0.4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AG25" s="1"/>
      <c r="AH25" s="1"/>
    </row>
    <row r="26" spans="4:34" x14ac:dyDescent="0.4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AG26" s="1"/>
      <c r="AH26" s="1"/>
    </row>
    <row r="27" spans="4:34" x14ac:dyDescent="0.4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AG27" s="1"/>
      <c r="AH27" s="1"/>
    </row>
    <row r="28" spans="4:34" x14ac:dyDescent="0.4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AG28" s="1"/>
      <c r="AH28" s="1"/>
    </row>
    <row r="29" spans="4:34" x14ac:dyDescent="0.4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AG29" s="1"/>
      <c r="AH29" s="1"/>
    </row>
    <row r="30" spans="4:34" x14ac:dyDescent="0.4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AG30" s="1"/>
      <c r="AH30" s="1"/>
    </row>
    <row r="31" spans="4:34" x14ac:dyDescent="0.4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4:34" x14ac:dyDescent="0.4"/>
    <row r="33" x14ac:dyDescent="0.4"/>
    <row r="34" x14ac:dyDescent="0.4"/>
    <row r="35" x14ac:dyDescent="0.4"/>
    <row r="36" x14ac:dyDescent="0.4"/>
    <row r="37" x14ac:dyDescent="0.4"/>
    <row r="38" x14ac:dyDescent="0.4"/>
    <row r="39" x14ac:dyDescent="0.4"/>
    <row r="40" x14ac:dyDescent="0.4"/>
    <row r="41" x14ac:dyDescent="0.4"/>
    <row r="42" x14ac:dyDescent="0.4"/>
    <row r="43" x14ac:dyDescent="0.4"/>
    <row r="44" x14ac:dyDescent="0.4"/>
    <row r="45" x14ac:dyDescent="0.4"/>
    <row r="46" x14ac:dyDescent="0.4"/>
    <row r="47" x14ac:dyDescent="0.4"/>
    <row r="48" x14ac:dyDescent="0.4"/>
    <row r="49" x14ac:dyDescent="0.4"/>
    <row r="50" x14ac:dyDescent="0.4"/>
    <row r="51" x14ac:dyDescent="0.4"/>
    <row r="52" x14ac:dyDescent="0.4"/>
    <row r="53" x14ac:dyDescent="0.4"/>
    <row r="54" x14ac:dyDescent="0.4"/>
    <row r="55" x14ac:dyDescent="0.4"/>
    <row r="56" x14ac:dyDescent="0.4"/>
    <row r="57" x14ac:dyDescent="0.4"/>
    <row r="58" x14ac:dyDescent="0.4"/>
    <row r="59" hidden="1" x14ac:dyDescent="0.4"/>
    <row r="60" hidden="1" x14ac:dyDescent="0.4"/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749992370372631"/>
    <pageSetUpPr fitToPage="1"/>
  </sheetPr>
  <dimension ref="A1:XFD93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15" zeroHeight="1" x14ac:dyDescent="0.4"/>
  <cols>
    <col min="1" max="2" width="1.2109375" customWidth="1"/>
    <col min="3" max="3" width="1.2109375" style="1" customWidth="1"/>
    <col min="4" max="4" width="36.5703125" customWidth="1"/>
    <col min="5" max="6" width="6.85546875" bestFit="1" customWidth="1"/>
    <col min="7" max="7" width="8.2109375" bestFit="1" customWidth="1"/>
    <col min="8" max="8" width="0.640625" customWidth="1"/>
    <col min="9" max="9" width="0.640625" style="1" customWidth="1"/>
    <col min="10" max="10" width="9.140625" style="1" bestFit="1" customWidth="1"/>
    <col min="11" max="11" width="8.5" style="1" bestFit="1" customWidth="1"/>
    <col min="12" max="12" width="8.7109375" bestFit="1" customWidth="1"/>
    <col min="13" max="13" width="8.78515625" bestFit="1" customWidth="1"/>
    <col min="14" max="14" width="9.140625" bestFit="1" customWidth="1"/>
    <col min="15" max="15" width="8.5" bestFit="1" customWidth="1"/>
    <col min="16" max="16" width="8.7109375" bestFit="1" customWidth="1"/>
    <col min="17" max="17" width="8.78515625" bestFit="1" customWidth="1"/>
    <col min="18" max="18" width="9.140625" style="1" bestFit="1" customWidth="1"/>
    <col min="19" max="19" width="8.5" style="1" bestFit="1" customWidth="1"/>
    <col min="20" max="20" width="8.7109375" style="1" bestFit="1" customWidth="1"/>
    <col min="21" max="21" width="8.78515625" style="1" bestFit="1" customWidth="1"/>
    <col min="22" max="22" width="9.140625" bestFit="1" customWidth="1"/>
    <col min="23" max="23" width="8.5" bestFit="1" customWidth="1"/>
    <col min="24" max="24" width="8.7109375" bestFit="1" customWidth="1"/>
    <col min="25" max="25" width="8.78515625" bestFit="1" customWidth="1"/>
    <col min="26" max="26" width="9.140625" bestFit="1" customWidth="1"/>
    <col min="27" max="27" width="8.5" bestFit="1" customWidth="1"/>
    <col min="28" max="28" width="9.2109375" bestFit="1" customWidth="1"/>
    <col min="29" max="29" width="9.42578125" bestFit="1" customWidth="1"/>
    <col min="30" max="30" width="8.78515625" customWidth="1"/>
    <col min="31" max="16384" width="8.78515625" hidden="1"/>
  </cols>
  <sheetData>
    <row r="1" spans="3:16384" s="1" customFormat="1" x14ac:dyDescent="0.4"/>
    <row r="2" spans="3:16384" x14ac:dyDescent="0.4">
      <c r="C2"/>
      <c r="M2" s="1"/>
      <c r="N2" s="1"/>
      <c r="O2" s="1"/>
      <c r="P2" s="1"/>
      <c r="Q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3:16384" s="1" customFormat="1" x14ac:dyDescent="0.4"/>
    <row r="4" spans="3:16384" s="1" customFormat="1" x14ac:dyDescent="0.4"/>
    <row r="5" spans="3:16384" s="1" customFormat="1" x14ac:dyDescent="0.4"/>
    <row r="6" spans="3:16384" s="1" customFormat="1" x14ac:dyDescent="0.4"/>
    <row r="7" spans="3:16384" s="1" customFormat="1" x14ac:dyDescent="0.4"/>
    <row r="8" spans="3:16384" s="1" customFormat="1" x14ac:dyDescent="0.4"/>
    <row r="9" spans="3:16384" s="1" customFormat="1" x14ac:dyDescent="0.4"/>
    <row r="10" spans="3:16384" s="1" customFormat="1" ht="15.75" x14ac:dyDescent="0.5">
      <c r="D10" s="5" t="s">
        <v>5</v>
      </c>
    </row>
    <row r="11" spans="3:16384" s="1" customFormat="1" x14ac:dyDescent="0.4">
      <c r="D11" t="s">
        <v>2</v>
      </c>
      <c r="E11"/>
      <c r="F11" s="8">
        <v>4</v>
      </c>
    </row>
    <row r="12" spans="3:16384" s="1" customFormat="1" x14ac:dyDescent="0.4">
      <c r="D12" s="1" t="s">
        <v>4</v>
      </c>
      <c r="F12" s="8">
        <v>3</v>
      </c>
    </row>
    <row r="13" spans="3:16384" s="1" customFormat="1" ht="13.5" customHeight="1" x14ac:dyDescent="0.4">
      <c r="D13" s="1" t="s">
        <v>7</v>
      </c>
      <c r="E13" s="1" t="s">
        <v>8</v>
      </c>
      <c r="F13" s="8">
        <v>4</v>
      </c>
    </row>
    <row r="14" spans="3:16384" s="1" customFormat="1" ht="13.5" customHeight="1" x14ac:dyDescent="0.4">
      <c r="D14" s="1" t="s">
        <v>24</v>
      </c>
      <c r="E14" s="1" t="s">
        <v>8</v>
      </c>
      <c r="F14" s="8">
        <v>16</v>
      </c>
    </row>
    <row r="15" spans="3:16384" s="1" customFormat="1" ht="13.5" customHeight="1" x14ac:dyDescent="0.4">
      <c r="D15" s="1" t="s">
        <v>15</v>
      </c>
      <c r="E15" s="1" t="s">
        <v>14</v>
      </c>
      <c r="F15" s="8">
        <v>3</v>
      </c>
      <c r="R15"/>
    </row>
    <row r="16" spans="3:16384" ht="13.5" customHeight="1" x14ac:dyDescent="0.4">
      <c r="C16"/>
      <c r="D16" s="1" t="s">
        <v>32</v>
      </c>
      <c r="E16" s="1"/>
      <c r="F16" s="19">
        <v>1E-4</v>
      </c>
      <c r="G16" s="1"/>
      <c r="H16" s="1"/>
      <c r="R16"/>
      <c r="AE16" s="1"/>
    </row>
    <row r="17" spans="4:29" s="1" customFormat="1" ht="13.5" customHeight="1" x14ac:dyDescent="0.4"/>
    <row r="18" spans="4:29" s="1" customFormat="1" ht="13.5" customHeight="1" x14ac:dyDescent="0.4">
      <c r="D18" s="12" t="s">
        <v>25</v>
      </c>
    </row>
    <row r="19" spans="4:29" s="1" customFormat="1" ht="13.5" customHeight="1" x14ac:dyDescent="0.4">
      <c r="D19" s="1" t="s">
        <v>27</v>
      </c>
      <c r="E19" s="9" t="s">
        <v>26</v>
      </c>
      <c r="F19" s="10">
        <v>0.1</v>
      </c>
    </row>
    <row r="20" spans="4:29" s="1" customFormat="1" ht="13.5" customHeight="1" x14ac:dyDescent="0.4">
      <c r="D20" s="1" t="s">
        <v>29</v>
      </c>
      <c r="E20" s="9" t="s">
        <v>26</v>
      </c>
      <c r="F20" s="10">
        <v>0</v>
      </c>
    </row>
    <row r="21" spans="4:29" s="1" customFormat="1" ht="13.5" customHeight="1" x14ac:dyDescent="0.4">
      <c r="D21" s="18" t="s">
        <v>28</v>
      </c>
      <c r="E21" s="9" t="s">
        <v>1</v>
      </c>
      <c r="F21" s="13">
        <f>SUM(F19:F20)</f>
        <v>0.1</v>
      </c>
    </row>
    <row r="22" spans="4:29" s="1" customFormat="1" ht="13.5" customHeight="1" x14ac:dyDescent="0.4">
      <c r="D22" s="18" t="s">
        <v>28</v>
      </c>
      <c r="E22" s="9" t="s">
        <v>16</v>
      </c>
      <c r="F22" s="13">
        <f>DiscountRate.Project.PA/4</f>
        <v>2.5000000000000001E-2</v>
      </c>
    </row>
    <row r="23" spans="4:29" s="1" customFormat="1" ht="13.5" customHeight="1" x14ac:dyDescent="0.4"/>
    <row r="24" spans="4:29" s="1" customFormat="1" x14ac:dyDescent="0.4">
      <c r="D24" s="1" t="s">
        <v>9</v>
      </c>
      <c r="J24" s="7">
        <v>0</v>
      </c>
      <c r="K24" s="7">
        <v>1</v>
      </c>
      <c r="L24" s="7">
        <f>K24+1</f>
        <v>2</v>
      </c>
      <c r="M24" s="7">
        <f t="shared" ref="M24:AC24" si="0">L24+1</f>
        <v>3</v>
      </c>
      <c r="N24" s="7">
        <f t="shared" si="0"/>
        <v>4</v>
      </c>
      <c r="O24" s="7">
        <f t="shared" si="0"/>
        <v>5</v>
      </c>
      <c r="P24" s="7">
        <f t="shared" si="0"/>
        <v>6</v>
      </c>
      <c r="Q24" s="7">
        <f t="shared" si="0"/>
        <v>7</v>
      </c>
      <c r="R24" s="7">
        <f t="shared" si="0"/>
        <v>8</v>
      </c>
      <c r="S24" s="7">
        <f t="shared" si="0"/>
        <v>9</v>
      </c>
      <c r="T24" s="7">
        <f t="shared" si="0"/>
        <v>10</v>
      </c>
      <c r="U24" s="7">
        <f t="shared" si="0"/>
        <v>11</v>
      </c>
      <c r="V24" s="7">
        <f t="shared" si="0"/>
        <v>12</v>
      </c>
      <c r="W24" s="7">
        <f t="shared" si="0"/>
        <v>13</v>
      </c>
      <c r="X24" s="7">
        <f t="shared" si="0"/>
        <v>14</v>
      </c>
      <c r="Y24" s="7">
        <f t="shared" si="0"/>
        <v>15</v>
      </c>
      <c r="Z24" s="7">
        <f t="shared" si="0"/>
        <v>16</v>
      </c>
      <c r="AA24" s="7">
        <f t="shared" si="0"/>
        <v>17</v>
      </c>
      <c r="AB24" s="7">
        <f t="shared" si="0"/>
        <v>18</v>
      </c>
      <c r="AC24" s="7">
        <f t="shared" si="0"/>
        <v>19</v>
      </c>
    </row>
    <row r="25" spans="4:29" s="1" customFormat="1" x14ac:dyDescent="0.4">
      <c r="J25" s="4">
        <f>EOMONTH(J26,-3)+1</f>
        <v>42736</v>
      </c>
      <c r="K25" s="4">
        <f>J26+1</f>
        <v>42826</v>
      </c>
      <c r="L25" s="4">
        <f t="shared" ref="L25:AC25" si="1">K26+1</f>
        <v>42917</v>
      </c>
      <c r="M25" s="4">
        <f t="shared" si="1"/>
        <v>43009</v>
      </c>
      <c r="N25" s="4">
        <f t="shared" si="1"/>
        <v>43101</v>
      </c>
      <c r="O25" s="4">
        <f t="shared" si="1"/>
        <v>43191</v>
      </c>
      <c r="P25" s="4">
        <f t="shared" si="1"/>
        <v>43282</v>
      </c>
      <c r="Q25" s="4">
        <f t="shared" si="1"/>
        <v>43374</v>
      </c>
      <c r="R25" s="4">
        <f t="shared" si="1"/>
        <v>43466</v>
      </c>
      <c r="S25" s="4">
        <f t="shared" si="1"/>
        <v>43556</v>
      </c>
      <c r="T25" s="4">
        <f t="shared" si="1"/>
        <v>43647</v>
      </c>
      <c r="U25" s="4">
        <f t="shared" si="1"/>
        <v>43739</v>
      </c>
      <c r="V25" s="4">
        <f t="shared" si="1"/>
        <v>43831</v>
      </c>
      <c r="W25" s="4">
        <f t="shared" si="1"/>
        <v>43922</v>
      </c>
      <c r="X25" s="4">
        <f t="shared" si="1"/>
        <v>44013</v>
      </c>
      <c r="Y25" s="4">
        <f t="shared" si="1"/>
        <v>44105</v>
      </c>
      <c r="Z25" s="4">
        <f t="shared" si="1"/>
        <v>44197</v>
      </c>
      <c r="AA25" s="4">
        <f t="shared" si="1"/>
        <v>44287</v>
      </c>
      <c r="AB25" s="4">
        <f t="shared" si="1"/>
        <v>44378</v>
      </c>
      <c r="AC25" s="4">
        <f t="shared" si="1"/>
        <v>44470</v>
      </c>
    </row>
    <row r="26" spans="4:29" s="1" customFormat="1" x14ac:dyDescent="0.4">
      <c r="D26" s="1" t="s">
        <v>10</v>
      </c>
      <c r="J26" s="4">
        <v>42825</v>
      </c>
      <c r="K26" s="4">
        <f>EOMONTH(K25,2)</f>
        <v>42916</v>
      </c>
      <c r="L26" s="4">
        <f t="shared" ref="L26:AC26" si="2">EOMONTH(L25,2)</f>
        <v>43008</v>
      </c>
      <c r="M26" s="4">
        <f t="shared" si="2"/>
        <v>43100</v>
      </c>
      <c r="N26" s="4">
        <f t="shared" si="2"/>
        <v>43190</v>
      </c>
      <c r="O26" s="4">
        <f t="shared" si="2"/>
        <v>43281</v>
      </c>
      <c r="P26" s="4">
        <f t="shared" si="2"/>
        <v>43373</v>
      </c>
      <c r="Q26" s="4">
        <f t="shared" si="2"/>
        <v>43465</v>
      </c>
      <c r="R26" s="4">
        <f t="shared" si="2"/>
        <v>43555</v>
      </c>
      <c r="S26" s="4">
        <f t="shared" si="2"/>
        <v>43646</v>
      </c>
      <c r="T26" s="4">
        <f t="shared" si="2"/>
        <v>43738</v>
      </c>
      <c r="U26" s="4">
        <f t="shared" si="2"/>
        <v>43830</v>
      </c>
      <c r="V26" s="4">
        <f t="shared" si="2"/>
        <v>43921</v>
      </c>
      <c r="W26" s="4">
        <f t="shared" si="2"/>
        <v>44012</v>
      </c>
      <c r="X26" s="4">
        <f t="shared" si="2"/>
        <v>44104</v>
      </c>
      <c r="Y26" s="4">
        <f t="shared" si="2"/>
        <v>44196</v>
      </c>
      <c r="Z26" s="4">
        <f t="shared" si="2"/>
        <v>44286</v>
      </c>
      <c r="AA26" s="4">
        <f t="shared" si="2"/>
        <v>44377</v>
      </c>
      <c r="AB26" s="4">
        <f t="shared" si="2"/>
        <v>44469</v>
      </c>
      <c r="AC26" s="4">
        <f t="shared" si="2"/>
        <v>44561</v>
      </c>
    </row>
    <row r="27" spans="4:29" x14ac:dyDescent="0.4">
      <c r="D27" t="s">
        <v>6</v>
      </c>
      <c r="E27" t="s">
        <v>3</v>
      </c>
      <c r="K27" s="14">
        <f t="shared" ref="K27:AC27" si="3">IF(K24&lt;=Date.Construction.End,1,0)</f>
        <v>1</v>
      </c>
      <c r="L27" s="14">
        <f t="shared" si="3"/>
        <v>1</v>
      </c>
      <c r="M27" s="14">
        <f t="shared" si="3"/>
        <v>1</v>
      </c>
      <c r="N27" s="14">
        <f t="shared" si="3"/>
        <v>1</v>
      </c>
      <c r="O27" s="14">
        <f t="shared" si="3"/>
        <v>0</v>
      </c>
      <c r="P27" s="14">
        <f t="shared" si="3"/>
        <v>0</v>
      </c>
      <c r="Q27" s="14">
        <f t="shared" si="3"/>
        <v>0</v>
      </c>
      <c r="R27" s="14">
        <f t="shared" si="3"/>
        <v>0</v>
      </c>
      <c r="S27" s="14">
        <f t="shared" si="3"/>
        <v>0</v>
      </c>
      <c r="T27" s="14">
        <f t="shared" si="3"/>
        <v>0</v>
      </c>
      <c r="U27" s="14">
        <f t="shared" si="3"/>
        <v>0</v>
      </c>
      <c r="V27" s="14">
        <f t="shared" si="3"/>
        <v>0</v>
      </c>
      <c r="W27" s="14">
        <f t="shared" si="3"/>
        <v>0</v>
      </c>
      <c r="X27" s="14">
        <f t="shared" si="3"/>
        <v>0</v>
      </c>
      <c r="Y27" s="14">
        <f t="shared" si="3"/>
        <v>0</v>
      </c>
      <c r="Z27" s="14">
        <f t="shared" si="3"/>
        <v>0</v>
      </c>
      <c r="AA27" s="14">
        <f t="shared" si="3"/>
        <v>0</v>
      </c>
      <c r="AB27" s="14">
        <f t="shared" si="3"/>
        <v>0</v>
      </c>
      <c r="AC27" s="14">
        <f t="shared" si="3"/>
        <v>0</v>
      </c>
    </row>
    <row r="28" spans="4:29" s="1" customFormat="1" x14ac:dyDescent="0.4">
      <c r="D28" s="1" t="s">
        <v>12</v>
      </c>
      <c r="E28" s="1" t="s">
        <v>3</v>
      </c>
      <c r="K28" s="14">
        <f t="shared" ref="K28:AC28" si="4">IF(K$24=Date.Construction.End,1,0)</f>
        <v>0</v>
      </c>
      <c r="L28" s="14">
        <f t="shared" si="4"/>
        <v>0</v>
      </c>
      <c r="M28" s="14">
        <f t="shared" si="4"/>
        <v>0</v>
      </c>
      <c r="N28" s="14">
        <f t="shared" si="4"/>
        <v>1</v>
      </c>
      <c r="O28" s="14">
        <f t="shared" si="4"/>
        <v>0</v>
      </c>
      <c r="P28" s="14">
        <f t="shared" si="4"/>
        <v>0</v>
      </c>
      <c r="Q28" s="14">
        <f t="shared" si="4"/>
        <v>0</v>
      </c>
      <c r="R28" s="14">
        <f t="shared" si="4"/>
        <v>0</v>
      </c>
      <c r="S28" s="14">
        <f t="shared" si="4"/>
        <v>0</v>
      </c>
      <c r="T28" s="14">
        <f t="shared" si="4"/>
        <v>0</v>
      </c>
      <c r="U28" s="14">
        <f t="shared" si="4"/>
        <v>0</v>
      </c>
      <c r="V28" s="14">
        <f t="shared" si="4"/>
        <v>0</v>
      </c>
      <c r="W28" s="14">
        <f t="shared" si="4"/>
        <v>0</v>
      </c>
      <c r="X28" s="14">
        <f t="shared" si="4"/>
        <v>0</v>
      </c>
      <c r="Y28" s="14">
        <f t="shared" si="4"/>
        <v>0</v>
      </c>
      <c r="Z28" s="14">
        <f t="shared" si="4"/>
        <v>0</v>
      </c>
      <c r="AA28" s="14">
        <f t="shared" si="4"/>
        <v>0</v>
      </c>
      <c r="AB28" s="14">
        <f t="shared" si="4"/>
        <v>0</v>
      </c>
      <c r="AC28" s="14">
        <f t="shared" si="4"/>
        <v>0</v>
      </c>
    </row>
    <row r="29" spans="4:29" s="1" customFormat="1" x14ac:dyDescent="0.4">
      <c r="D29" s="1" t="s">
        <v>11</v>
      </c>
      <c r="E29" s="1" t="s">
        <v>3</v>
      </c>
      <c r="K29" s="14">
        <f t="shared" ref="K29:AC29" si="5">IF( AND(K24&gt;Date.Construction.End,K24&lt;=Date.Project.End),1,0)</f>
        <v>0</v>
      </c>
      <c r="L29" s="14">
        <f t="shared" si="5"/>
        <v>0</v>
      </c>
      <c r="M29" s="14">
        <f t="shared" si="5"/>
        <v>0</v>
      </c>
      <c r="N29" s="14">
        <f t="shared" si="5"/>
        <v>0</v>
      </c>
      <c r="O29" s="14">
        <f t="shared" si="5"/>
        <v>1</v>
      </c>
      <c r="P29" s="14">
        <f t="shared" si="5"/>
        <v>1</v>
      </c>
      <c r="Q29" s="14">
        <f t="shared" si="5"/>
        <v>1</v>
      </c>
      <c r="R29" s="14">
        <f t="shared" si="5"/>
        <v>1</v>
      </c>
      <c r="S29" s="14">
        <f t="shared" si="5"/>
        <v>1</v>
      </c>
      <c r="T29" s="14">
        <f t="shared" si="5"/>
        <v>1</v>
      </c>
      <c r="U29" s="14">
        <f t="shared" si="5"/>
        <v>1</v>
      </c>
      <c r="V29" s="14">
        <f t="shared" si="5"/>
        <v>1</v>
      </c>
      <c r="W29" s="14">
        <f t="shared" si="5"/>
        <v>1</v>
      </c>
      <c r="X29" s="14">
        <f t="shared" si="5"/>
        <v>1</v>
      </c>
      <c r="Y29" s="14">
        <f t="shared" si="5"/>
        <v>1</v>
      </c>
      <c r="Z29" s="14">
        <f t="shared" si="5"/>
        <v>1</v>
      </c>
      <c r="AA29" s="14">
        <f t="shared" si="5"/>
        <v>0</v>
      </c>
      <c r="AB29" s="14">
        <f t="shared" si="5"/>
        <v>0</v>
      </c>
      <c r="AC29" s="14">
        <f t="shared" si="5"/>
        <v>0</v>
      </c>
    </row>
    <row r="30" spans="4:29" x14ac:dyDescent="0.4"/>
    <row r="31" spans="4:29" s="1" customFormat="1" x14ac:dyDescent="0.4">
      <c r="D31" s="12" t="s">
        <v>20</v>
      </c>
    </row>
    <row r="32" spans="4:29" s="1" customFormat="1" x14ac:dyDescent="0.4">
      <c r="D32" s="20" t="s">
        <v>33</v>
      </c>
    </row>
    <row r="33" spans="4:29" x14ac:dyDescent="0.4">
      <c r="D33" t="s">
        <v>13</v>
      </c>
      <c r="E33" s="1" t="s">
        <v>0</v>
      </c>
      <c r="J33" s="11">
        <f>SUM(K33:AC33)</f>
        <v>240.96755725074252</v>
      </c>
      <c r="K33" s="15"/>
      <c r="L33" s="15"/>
      <c r="M33" s="15"/>
      <c r="N33" s="15"/>
      <c r="O33" s="16">
        <v>19</v>
      </c>
      <c r="P33" s="16">
        <v>19.190000000000001</v>
      </c>
      <c r="Q33" s="16">
        <v>19.381900000000002</v>
      </c>
      <c r="R33" s="16">
        <v>19.575719000000003</v>
      </c>
      <c r="S33" s="16">
        <v>19.771476190000005</v>
      </c>
      <c r="T33" s="16">
        <v>19.969190951900003</v>
      </c>
      <c r="U33" s="16">
        <v>20.168882861419004</v>
      </c>
      <c r="V33" s="16">
        <v>20.370571690033195</v>
      </c>
      <c r="W33" s="16">
        <v>20.574277406933525</v>
      </c>
      <c r="X33" s="16">
        <v>20.780020181002861</v>
      </c>
      <c r="Y33" s="16">
        <v>20.987820382812888</v>
      </c>
      <c r="Z33" s="16">
        <v>21.197698586641017</v>
      </c>
      <c r="AA33" s="16"/>
      <c r="AB33" s="16"/>
      <c r="AC33" s="16"/>
    </row>
    <row r="34" spans="4:29" s="1" customFormat="1" x14ac:dyDescent="0.4">
      <c r="D34" s="1" t="s">
        <v>17</v>
      </c>
      <c r="E34" s="1" t="s">
        <v>0</v>
      </c>
      <c r="J34" s="11">
        <f>SUM(K34:AC34)</f>
        <v>100</v>
      </c>
      <c r="K34" s="16">
        <v>25</v>
      </c>
      <c r="L34" s="16">
        <v>25</v>
      </c>
      <c r="M34" s="16">
        <v>25</v>
      </c>
      <c r="N34" s="16">
        <v>25</v>
      </c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</row>
    <row r="35" spans="4:29" s="1" customFormat="1" x14ac:dyDescent="0.4">
      <c r="D35" s="1" t="s">
        <v>18</v>
      </c>
      <c r="E35" s="1" t="s">
        <v>0</v>
      </c>
      <c r="J35" s="11">
        <f>SUM(K35:AC35)</f>
        <v>12</v>
      </c>
      <c r="K35" s="15"/>
      <c r="L35" s="15"/>
      <c r="M35" s="15"/>
      <c r="N35" s="15"/>
      <c r="O35" s="16">
        <v>1</v>
      </c>
      <c r="P35" s="16">
        <v>1</v>
      </c>
      <c r="Q35" s="16">
        <v>1</v>
      </c>
      <c r="R35" s="16">
        <v>1</v>
      </c>
      <c r="S35" s="16">
        <v>1</v>
      </c>
      <c r="T35" s="16">
        <v>1</v>
      </c>
      <c r="U35" s="16">
        <v>1</v>
      </c>
      <c r="V35" s="16">
        <v>1</v>
      </c>
      <c r="W35" s="16">
        <v>1</v>
      </c>
      <c r="X35" s="16">
        <v>1</v>
      </c>
      <c r="Y35" s="16">
        <v>1</v>
      </c>
      <c r="Z35" s="16">
        <v>1</v>
      </c>
      <c r="AA35" s="16"/>
      <c r="AB35" s="16"/>
      <c r="AC35" s="16"/>
    </row>
    <row r="36" spans="4:29" x14ac:dyDescent="0.4">
      <c r="D36" s="1" t="s">
        <v>19</v>
      </c>
      <c r="E36" s="1" t="s">
        <v>0</v>
      </c>
      <c r="F36" s="1"/>
      <c r="G36" s="1"/>
      <c r="H36" s="1"/>
      <c r="J36" s="11">
        <f>SUM(K36:AC36)</f>
        <v>67.814299439998848</v>
      </c>
      <c r="K36" s="15"/>
      <c r="L36" s="15"/>
      <c r="M36" s="15"/>
      <c r="N36" s="15"/>
      <c r="O36" s="16">
        <v>5.2</v>
      </c>
      <c r="P36" s="16">
        <v>5.2779999999999996</v>
      </c>
      <c r="Q36" s="16">
        <v>5.3571699999999991</v>
      </c>
      <c r="R36" s="16">
        <v>5.4375275499999987</v>
      </c>
      <c r="S36" s="16">
        <v>5.5190904632499977</v>
      </c>
      <c r="T36" s="16">
        <v>5.601876820198747</v>
      </c>
      <c r="U36" s="16">
        <v>5.6859049725017279</v>
      </c>
      <c r="V36" s="16">
        <v>5.7711935470892533</v>
      </c>
      <c r="W36" s="16">
        <v>5.8577614502955919</v>
      </c>
      <c r="X36" s="16">
        <v>5.9456278720500251</v>
      </c>
      <c r="Y36" s="16">
        <v>6.034812290130775</v>
      </c>
      <c r="Z36" s="16">
        <v>6.1253344744827363</v>
      </c>
      <c r="AA36" s="16"/>
      <c r="AB36" s="16"/>
      <c r="AC36" s="16"/>
    </row>
    <row r="37" spans="4:29" x14ac:dyDescent="0.4">
      <c r="D37" t="s">
        <v>21</v>
      </c>
      <c r="E37" s="1" t="s">
        <v>0</v>
      </c>
      <c r="J37" s="11">
        <f>SUM(K37:AC37)</f>
        <v>25.221000000000004</v>
      </c>
      <c r="K37" s="15"/>
      <c r="L37" s="15"/>
      <c r="M37" s="15"/>
      <c r="N37" s="15"/>
      <c r="O37" s="16">
        <v>2.1</v>
      </c>
      <c r="P37" s="16">
        <v>2.121</v>
      </c>
      <c r="Q37" s="16">
        <v>2.1</v>
      </c>
      <c r="R37" s="16">
        <v>2.1</v>
      </c>
      <c r="S37" s="16">
        <v>2.1</v>
      </c>
      <c r="T37" s="16">
        <v>2.1</v>
      </c>
      <c r="U37" s="16">
        <v>2.1</v>
      </c>
      <c r="V37" s="16">
        <v>2.1</v>
      </c>
      <c r="W37" s="16">
        <v>2.1</v>
      </c>
      <c r="X37" s="16">
        <v>2.1</v>
      </c>
      <c r="Y37" s="16">
        <v>2.1</v>
      </c>
      <c r="Z37" s="16">
        <v>2.1</v>
      </c>
      <c r="AA37" s="16"/>
      <c r="AB37" s="16"/>
      <c r="AC37" s="16"/>
    </row>
    <row r="38" spans="4:29" x14ac:dyDescent="0.4"/>
    <row r="39" spans="4:29" x14ac:dyDescent="0.4">
      <c r="D39" s="12" t="s">
        <v>22</v>
      </c>
    </row>
    <row r="40" spans="4:29" x14ac:dyDescent="0.4">
      <c r="D40" s="1" t="str">
        <f>D33</f>
        <v>Revenue</v>
      </c>
      <c r="E40" s="1" t="s">
        <v>0</v>
      </c>
      <c r="K40" s="1">
        <f t="shared" ref="K40:AC40" si="6">K33</f>
        <v>0</v>
      </c>
      <c r="L40" s="1">
        <f t="shared" si="6"/>
        <v>0</v>
      </c>
      <c r="M40" s="1">
        <f t="shared" si="6"/>
        <v>0</v>
      </c>
      <c r="N40" s="1">
        <f t="shared" si="6"/>
        <v>0</v>
      </c>
      <c r="O40" s="1">
        <f t="shared" si="6"/>
        <v>19</v>
      </c>
      <c r="P40" s="1">
        <f t="shared" si="6"/>
        <v>19.190000000000001</v>
      </c>
      <c r="Q40" s="1">
        <f t="shared" si="6"/>
        <v>19.381900000000002</v>
      </c>
      <c r="R40" s="1">
        <f t="shared" si="6"/>
        <v>19.575719000000003</v>
      </c>
      <c r="S40" s="1">
        <f t="shared" si="6"/>
        <v>19.771476190000005</v>
      </c>
      <c r="T40" s="1">
        <f t="shared" si="6"/>
        <v>19.969190951900003</v>
      </c>
      <c r="U40" s="1">
        <f t="shared" si="6"/>
        <v>20.168882861419004</v>
      </c>
      <c r="V40" s="1">
        <f t="shared" si="6"/>
        <v>20.370571690033195</v>
      </c>
      <c r="W40" s="1">
        <f t="shared" si="6"/>
        <v>20.574277406933525</v>
      </c>
      <c r="X40" s="1">
        <f t="shared" si="6"/>
        <v>20.780020181002861</v>
      </c>
      <c r="Y40" s="1">
        <f t="shared" si="6"/>
        <v>20.987820382812888</v>
      </c>
      <c r="Z40" s="1">
        <f t="shared" si="6"/>
        <v>21.197698586641017</v>
      </c>
      <c r="AA40" s="1">
        <f t="shared" si="6"/>
        <v>0</v>
      </c>
      <c r="AB40" s="1">
        <f t="shared" si="6"/>
        <v>0</v>
      </c>
      <c r="AC40" s="1">
        <f t="shared" si="6"/>
        <v>0</v>
      </c>
    </row>
    <row r="41" spans="4:29" x14ac:dyDescent="0.4">
      <c r="D41" t="str">
        <f>D34</f>
        <v>CapEx: Construction</v>
      </c>
      <c r="E41" s="1" t="s">
        <v>0</v>
      </c>
      <c r="K41" s="1">
        <f t="shared" ref="K41:AC41" si="7">-K34</f>
        <v>-25</v>
      </c>
      <c r="L41" s="1">
        <f t="shared" si="7"/>
        <v>-25</v>
      </c>
      <c r="M41" s="1">
        <f t="shared" si="7"/>
        <v>-25</v>
      </c>
      <c r="N41" s="1">
        <f t="shared" si="7"/>
        <v>-25</v>
      </c>
      <c r="O41" s="1">
        <f t="shared" si="7"/>
        <v>0</v>
      </c>
      <c r="P41" s="1">
        <f t="shared" si="7"/>
        <v>0</v>
      </c>
      <c r="Q41" s="1">
        <f t="shared" si="7"/>
        <v>0</v>
      </c>
      <c r="R41" s="1">
        <f t="shared" si="7"/>
        <v>0</v>
      </c>
      <c r="S41" s="1">
        <f t="shared" si="7"/>
        <v>0</v>
      </c>
      <c r="T41" s="1">
        <f t="shared" si="7"/>
        <v>0</v>
      </c>
      <c r="U41" s="1">
        <f t="shared" si="7"/>
        <v>0</v>
      </c>
      <c r="V41" s="1">
        <f t="shared" si="7"/>
        <v>0</v>
      </c>
      <c r="W41" s="1">
        <f t="shared" si="7"/>
        <v>0</v>
      </c>
      <c r="X41" s="1">
        <f t="shared" si="7"/>
        <v>0</v>
      </c>
      <c r="Y41" s="1">
        <f t="shared" si="7"/>
        <v>0</v>
      </c>
      <c r="Z41" s="1">
        <f t="shared" si="7"/>
        <v>0</v>
      </c>
      <c r="AA41" s="1">
        <f t="shared" si="7"/>
        <v>0</v>
      </c>
      <c r="AB41" s="1">
        <f t="shared" si="7"/>
        <v>0</v>
      </c>
      <c r="AC41" s="1">
        <f t="shared" si="7"/>
        <v>0</v>
      </c>
    </row>
    <row r="42" spans="4:29" x14ac:dyDescent="0.4">
      <c r="D42" s="1" t="str">
        <f>D35</f>
        <v>CapEx: Operations</v>
      </c>
      <c r="E42" s="1" t="s">
        <v>0</v>
      </c>
      <c r="K42" s="1">
        <f t="shared" ref="K42:AC42" si="8">-K35</f>
        <v>0</v>
      </c>
      <c r="L42" s="1">
        <f t="shared" si="8"/>
        <v>0</v>
      </c>
      <c r="M42" s="1">
        <f t="shared" si="8"/>
        <v>0</v>
      </c>
      <c r="N42" s="1">
        <f t="shared" si="8"/>
        <v>0</v>
      </c>
      <c r="O42" s="1">
        <f t="shared" si="8"/>
        <v>-1</v>
      </c>
      <c r="P42" s="1">
        <f t="shared" si="8"/>
        <v>-1</v>
      </c>
      <c r="Q42" s="1">
        <f t="shared" si="8"/>
        <v>-1</v>
      </c>
      <c r="R42" s="1">
        <f t="shared" si="8"/>
        <v>-1</v>
      </c>
      <c r="S42" s="1">
        <f t="shared" si="8"/>
        <v>-1</v>
      </c>
      <c r="T42" s="1">
        <f t="shared" si="8"/>
        <v>-1</v>
      </c>
      <c r="U42" s="1">
        <f t="shared" si="8"/>
        <v>-1</v>
      </c>
      <c r="V42" s="1">
        <f t="shared" si="8"/>
        <v>-1</v>
      </c>
      <c r="W42" s="1">
        <f t="shared" si="8"/>
        <v>-1</v>
      </c>
      <c r="X42" s="1">
        <f t="shared" si="8"/>
        <v>-1</v>
      </c>
      <c r="Y42" s="1">
        <f t="shared" si="8"/>
        <v>-1</v>
      </c>
      <c r="Z42" s="1">
        <f t="shared" si="8"/>
        <v>-1</v>
      </c>
      <c r="AA42" s="1">
        <f t="shared" si="8"/>
        <v>0</v>
      </c>
      <c r="AB42" s="1">
        <f t="shared" si="8"/>
        <v>0</v>
      </c>
      <c r="AC42" s="1">
        <f t="shared" si="8"/>
        <v>0</v>
      </c>
    </row>
    <row r="43" spans="4:29" x14ac:dyDescent="0.4">
      <c r="D43" s="1" t="str">
        <f>D36</f>
        <v>Operating expenditure</v>
      </c>
      <c r="E43" s="1" t="s">
        <v>0</v>
      </c>
      <c r="K43" s="1">
        <f t="shared" ref="K43:AC43" si="9">-K36</f>
        <v>0</v>
      </c>
      <c r="L43" s="1">
        <f t="shared" si="9"/>
        <v>0</v>
      </c>
      <c r="M43" s="1">
        <f t="shared" si="9"/>
        <v>0</v>
      </c>
      <c r="N43" s="1">
        <f t="shared" si="9"/>
        <v>0</v>
      </c>
      <c r="O43" s="1">
        <f t="shared" si="9"/>
        <v>-5.2</v>
      </c>
      <c r="P43" s="1">
        <f t="shared" si="9"/>
        <v>-5.2779999999999996</v>
      </c>
      <c r="Q43" s="1">
        <f t="shared" si="9"/>
        <v>-5.3571699999999991</v>
      </c>
      <c r="R43" s="1">
        <f t="shared" si="9"/>
        <v>-5.4375275499999987</v>
      </c>
      <c r="S43" s="1">
        <f t="shared" si="9"/>
        <v>-5.5190904632499977</v>
      </c>
      <c r="T43" s="1">
        <f t="shared" si="9"/>
        <v>-5.601876820198747</v>
      </c>
      <c r="U43" s="1">
        <f t="shared" si="9"/>
        <v>-5.6859049725017279</v>
      </c>
      <c r="V43" s="1">
        <f t="shared" si="9"/>
        <v>-5.7711935470892533</v>
      </c>
      <c r="W43" s="1">
        <f t="shared" si="9"/>
        <v>-5.8577614502955919</v>
      </c>
      <c r="X43" s="1">
        <f t="shared" si="9"/>
        <v>-5.9456278720500251</v>
      </c>
      <c r="Y43" s="1">
        <f t="shared" si="9"/>
        <v>-6.034812290130775</v>
      </c>
      <c r="Z43" s="1">
        <f t="shared" si="9"/>
        <v>-6.1253344744827363</v>
      </c>
      <c r="AA43" s="1">
        <f t="shared" si="9"/>
        <v>0</v>
      </c>
      <c r="AB43" s="1">
        <f t="shared" si="9"/>
        <v>0</v>
      </c>
      <c r="AC43" s="1">
        <f t="shared" si="9"/>
        <v>0</v>
      </c>
    </row>
    <row r="44" spans="4:29" x14ac:dyDescent="0.4">
      <c r="D44" s="1" t="str">
        <f>D37</f>
        <v>Tax</v>
      </c>
      <c r="E44" s="1" t="s">
        <v>0</v>
      </c>
      <c r="K44" s="1">
        <f t="shared" ref="K44:AC44" si="10">-K37</f>
        <v>0</v>
      </c>
      <c r="L44" s="1">
        <f t="shared" si="10"/>
        <v>0</v>
      </c>
      <c r="M44" s="1">
        <f t="shared" si="10"/>
        <v>0</v>
      </c>
      <c r="N44" s="1">
        <f t="shared" si="10"/>
        <v>0</v>
      </c>
      <c r="O44" s="1">
        <f t="shared" si="10"/>
        <v>-2.1</v>
      </c>
      <c r="P44" s="1">
        <f t="shared" si="10"/>
        <v>-2.121</v>
      </c>
      <c r="Q44" s="1">
        <f t="shared" si="10"/>
        <v>-2.1</v>
      </c>
      <c r="R44" s="1">
        <f t="shared" si="10"/>
        <v>-2.1</v>
      </c>
      <c r="S44" s="1">
        <f t="shared" si="10"/>
        <v>-2.1</v>
      </c>
      <c r="T44" s="1">
        <f t="shared" si="10"/>
        <v>-2.1</v>
      </c>
      <c r="U44" s="1">
        <f t="shared" si="10"/>
        <v>-2.1</v>
      </c>
      <c r="V44" s="1">
        <f t="shared" si="10"/>
        <v>-2.1</v>
      </c>
      <c r="W44" s="1">
        <f t="shared" si="10"/>
        <v>-2.1</v>
      </c>
      <c r="X44" s="1">
        <f t="shared" si="10"/>
        <v>-2.1</v>
      </c>
      <c r="Y44" s="1">
        <f t="shared" si="10"/>
        <v>-2.1</v>
      </c>
      <c r="Z44" s="1">
        <f t="shared" si="10"/>
        <v>-2.1</v>
      </c>
      <c r="AA44" s="1">
        <f t="shared" si="10"/>
        <v>0</v>
      </c>
      <c r="AB44" s="1">
        <f t="shared" si="10"/>
        <v>0</v>
      </c>
      <c r="AC44" s="1">
        <f t="shared" si="10"/>
        <v>0</v>
      </c>
    </row>
    <row r="45" spans="4:29" x14ac:dyDescent="0.4">
      <c r="D45" t="s">
        <v>23</v>
      </c>
      <c r="E45" s="1" t="s">
        <v>0</v>
      </c>
      <c r="J45" s="11">
        <f>Constant.Number.Tiny</f>
        <v>1E-4</v>
      </c>
      <c r="K45" s="17">
        <f t="shared" ref="K45:AC45" si="11">SUM(K40:K44)</f>
        <v>-25</v>
      </c>
      <c r="L45" s="17">
        <f t="shared" si="11"/>
        <v>-25</v>
      </c>
      <c r="M45" s="17">
        <f t="shared" si="11"/>
        <v>-25</v>
      </c>
      <c r="N45" s="17">
        <f t="shared" si="11"/>
        <v>-25</v>
      </c>
      <c r="O45" s="17">
        <f t="shared" si="11"/>
        <v>10.700000000000001</v>
      </c>
      <c r="P45" s="17">
        <f t="shared" si="11"/>
        <v>10.791000000000002</v>
      </c>
      <c r="Q45" s="17">
        <f t="shared" si="11"/>
        <v>10.924730000000002</v>
      </c>
      <c r="R45" s="17">
        <f t="shared" si="11"/>
        <v>11.038191450000005</v>
      </c>
      <c r="S45" s="17">
        <f t="shared" si="11"/>
        <v>11.152385726750007</v>
      </c>
      <c r="T45" s="17">
        <f t="shared" si="11"/>
        <v>11.267314131701257</v>
      </c>
      <c r="U45" s="17">
        <f t="shared" si="11"/>
        <v>11.382977888917276</v>
      </c>
      <c r="V45" s="17">
        <f t="shared" si="11"/>
        <v>11.499378142943941</v>
      </c>
      <c r="W45" s="17">
        <f t="shared" si="11"/>
        <v>11.616515956637935</v>
      </c>
      <c r="X45" s="17">
        <f t="shared" si="11"/>
        <v>11.734392308952836</v>
      </c>
      <c r="Y45" s="17">
        <f t="shared" si="11"/>
        <v>11.853008092682114</v>
      </c>
      <c r="Z45" s="17">
        <f t="shared" si="11"/>
        <v>11.972364112158282</v>
      </c>
      <c r="AA45" s="17">
        <f t="shared" si="11"/>
        <v>0</v>
      </c>
      <c r="AB45" s="17">
        <f t="shared" si="11"/>
        <v>0</v>
      </c>
      <c r="AC45" s="17">
        <f t="shared" si="11"/>
        <v>0</v>
      </c>
    </row>
    <row r="46" spans="4:29" s="1" customFormat="1" x14ac:dyDescent="0.4"/>
    <row r="47" spans="4:29" s="1" customFormat="1" x14ac:dyDescent="0.4"/>
    <row r="48" spans="4:29" s="1" customFormat="1" x14ac:dyDescent="0.4"/>
    <row r="49" spans="4:29" s="1" customFormat="1" x14ac:dyDescent="0.4"/>
    <row r="50" spans="4:29" s="1" customFormat="1" x14ac:dyDescent="0.4"/>
    <row r="51" spans="4:29" x14ac:dyDescent="0.4">
      <c r="D51" s="31" t="s">
        <v>43</v>
      </c>
      <c r="F51" s="6" t="s">
        <v>38</v>
      </c>
      <c r="G51" s="6" t="s">
        <v>37</v>
      </c>
      <c r="H51" s="1"/>
      <c r="P51" s="1"/>
      <c r="Q51" s="1"/>
      <c r="V51" s="1"/>
      <c r="W51" s="1"/>
      <c r="X51" s="1"/>
      <c r="Y51" s="1"/>
      <c r="Z51" s="1"/>
      <c r="AA51" s="1"/>
      <c r="AB51" s="1"/>
      <c r="AC51" s="1"/>
    </row>
    <row r="52" spans="4:29" x14ac:dyDescent="0.4">
      <c r="D52" t="s">
        <v>42</v>
      </c>
      <c r="F52" s="13">
        <f>XIRR($K$45:$AC$45,$K$26:$AC$26)</f>
        <v>0.16770884394645691</v>
      </c>
      <c r="G52" s="23">
        <f>XNPV(DiscountRate.Project.PA,$J$45:$AC$45,$J$26:$AC$26)</f>
        <v>11.630791561623573</v>
      </c>
      <c r="H52" s="1"/>
    </row>
    <row r="53" spans="4:29" x14ac:dyDescent="0.4">
      <c r="D53" s="33" t="str">
        <f>"Nominal, post tax, discount = " &amp;DiscountRate.Project.PA*100&amp;" % p.a."</f>
        <v>Nominal, post tax, discount = 10 % p.a.</v>
      </c>
    </row>
    <row r="54" spans="4:29" s="1" customFormat="1" x14ac:dyDescent="0.4">
      <c r="J54" s="7">
        <f t="shared" ref="J54:AC54" si="12">J24</f>
        <v>0</v>
      </c>
      <c r="K54" s="7">
        <f t="shared" si="12"/>
        <v>1</v>
      </c>
      <c r="L54" s="7">
        <f t="shared" si="12"/>
        <v>2</v>
      </c>
      <c r="M54" s="7">
        <f t="shared" si="12"/>
        <v>3</v>
      </c>
      <c r="N54" s="7">
        <f t="shared" si="12"/>
        <v>4</v>
      </c>
      <c r="O54" s="7">
        <f t="shared" si="12"/>
        <v>5</v>
      </c>
      <c r="P54" s="7">
        <f t="shared" si="12"/>
        <v>6</v>
      </c>
      <c r="Q54" s="7">
        <f t="shared" si="12"/>
        <v>7</v>
      </c>
      <c r="R54" s="7">
        <f t="shared" si="12"/>
        <v>8</v>
      </c>
      <c r="S54" s="7">
        <f t="shared" si="12"/>
        <v>9</v>
      </c>
      <c r="T54" s="7">
        <f t="shared" si="12"/>
        <v>10</v>
      </c>
      <c r="U54" s="7">
        <f t="shared" si="12"/>
        <v>11</v>
      </c>
      <c r="V54" s="7">
        <f t="shared" si="12"/>
        <v>12</v>
      </c>
      <c r="W54" s="7">
        <f t="shared" si="12"/>
        <v>13</v>
      </c>
      <c r="X54" s="7">
        <f t="shared" si="12"/>
        <v>14</v>
      </c>
      <c r="Y54" s="7">
        <f t="shared" si="12"/>
        <v>15</v>
      </c>
      <c r="Z54" s="7">
        <f t="shared" si="12"/>
        <v>16</v>
      </c>
      <c r="AA54" s="7">
        <f t="shared" si="12"/>
        <v>17</v>
      </c>
      <c r="AB54" s="7">
        <f t="shared" si="12"/>
        <v>18</v>
      </c>
      <c r="AC54" s="7">
        <f t="shared" si="12"/>
        <v>19</v>
      </c>
    </row>
    <row r="55" spans="4:29" s="1" customFormat="1" x14ac:dyDescent="0.4">
      <c r="J55" s="4">
        <f t="shared" ref="J55:AC55" si="13">J25</f>
        <v>42736</v>
      </c>
      <c r="K55" s="4">
        <f t="shared" si="13"/>
        <v>42826</v>
      </c>
      <c r="L55" s="4">
        <f t="shared" si="13"/>
        <v>42917</v>
      </c>
      <c r="M55" s="4">
        <f t="shared" si="13"/>
        <v>43009</v>
      </c>
      <c r="N55" s="4">
        <f t="shared" si="13"/>
        <v>43101</v>
      </c>
      <c r="O55" s="4">
        <f t="shared" si="13"/>
        <v>43191</v>
      </c>
      <c r="P55" s="4">
        <f t="shared" si="13"/>
        <v>43282</v>
      </c>
      <c r="Q55" s="4">
        <f t="shared" si="13"/>
        <v>43374</v>
      </c>
      <c r="R55" s="4">
        <f t="shared" si="13"/>
        <v>43466</v>
      </c>
      <c r="S55" s="4">
        <f t="shared" si="13"/>
        <v>43556</v>
      </c>
      <c r="T55" s="4">
        <f t="shared" si="13"/>
        <v>43647</v>
      </c>
      <c r="U55" s="4">
        <f t="shared" si="13"/>
        <v>43739</v>
      </c>
      <c r="V55" s="4">
        <f t="shared" si="13"/>
        <v>43831</v>
      </c>
      <c r="W55" s="4">
        <f t="shared" si="13"/>
        <v>43922</v>
      </c>
      <c r="X55" s="4">
        <f t="shared" si="13"/>
        <v>44013</v>
      </c>
      <c r="Y55" s="4">
        <f t="shared" si="13"/>
        <v>44105</v>
      </c>
      <c r="Z55" s="4">
        <f t="shared" si="13"/>
        <v>44197</v>
      </c>
      <c r="AA55" s="4">
        <f t="shared" si="13"/>
        <v>44287</v>
      </c>
      <c r="AB55" s="4">
        <f t="shared" si="13"/>
        <v>44378</v>
      </c>
      <c r="AC55" s="4">
        <f t="shared" si="13"/>
        <v>44470</v>
      </c>
    </row>
    <row r="56" spans="4:29" x14ac:dyDescent="0.4">
      <c r="D56" s="12" t="s">
        <v>30</v>
      </c>
      <c r="J56" s="4">
        <f t="shared" ref="J56:AC56" si="14">J26</f>
        <v>42825</v>
      </c>
      <c r="K56" s="4">
        <f t="shared" si="14"/>
        <v>42916</v>
      </c>
      <c r="L56" s="4">
        <f t="shared" si="14"/>
        <v>43008</v>
      </c>
      <c r="M56" s="4">
        <f t="shared" si="14"/>
        <v>43100</v>
      </c>
      <c r="N56" s="4">
        <f t="shared" si="14"/>
        <v>43190</v>
      </c>
      <c r="O56" s="4">
        <f t="shared" si="14"/>
        <v>43281</v>
      </c>
      <c r="P56" s="4">
        <f t="shared" si="14"/>
        <v>43373</v>
      </c>
      <c r="Q56" s="4">
        <f t="shared" si="14"/>
        <v>43465</v>
      </c>
      <c r="R56" s="4">
        <f t="shared" si="14"/>
        <v>43555</v>
      </c>
      <c r="S56" s="4">
        <f t="shared" si="14"/>
        <v>43646</v>
      </c>
      <c r="T56" s="4">
        <f t="shared" si="14"/>
        <v>43738</v>
      </c>
      <c r="U56" s="4">
        <f t="shared" si="14"/>
        <v>43830</v>
      </c>
      <c r="V56" s="4">
        <f t="shared" si="14"/>
        <v>43921</v>
      </c>
      <c r="W56" s="4">
        <f t="shared" si="14"/>
        <v>44012</v>
      </c>
      <c r="X56" s="4">
        <f t="shared" si="14"/>
        <v>44104</v>
      </c>
      <c r="Y56" s="4">
        <f t="shared" si="14"/>
        <v>44196</v>
      </c>
      <c r="Z56" s="4">
        <f t="shared" si="14"/>
        <v>44286</v>
      </c>
      <c r="AA56" s="4">
        <f t="shared" si="14"/>
        <v>44377</v>
      </c>
      <c r="AB56" s="4">
        <f t="shared" si="14"/>
        <v>44469</v>
      </c>
      <c r="AC56" s="4">
        <f t="shared" si="14"/>
        <v>44561</v>
      </c>
    </row>
    <row r="57" spans="4:29" x14ac:dyDescent="0.4">
      <c r="D57" t="s">
        <v>34</v>
      </c>
      <c r="K57" s="21">
        <f t="shared" ref="K57:AC57" si="15">K26-K25+1</f>
        <v>91</v>
      </c>
      <c r="L57" s="21">
        <f t="shared" si="15"/>
        <v>92</v>
      </c>
      <c r="M57" s="21">
        <f t="shared" si="15"/>
        <v>92</v>
      </c>
      <c r="N57" s="21">
        <f t="shared" si="15"/>
        <v>90</v>
      </c>
      <c r="O57" s="21">
        <f t="shared" si="15"/>
        <v>91</v>
      </c>
      <c r="P57" s="21">
        <f t="shared" si="15"/>
        <v>92</v>
      </c>
      <c r="Q57" s="21">
        <f t="shared" si="15"/>
        <v>92</v>
      </c>
      <c r="R57" s="21">
        <f t="shared" si="15"/>
        <v>90</v>
      </c>
      <c r="S57" s="21">
        <f t="shared" si="15"/>
        <v>91</v>
      </c>
      <c r="T57" s="21">
        <f t="shared" si="15"/>
        <v>92</v>
      </c>
      <c r="U57" s="21">
        <f t="shared" si="15"/>
        <v>92</v>
      </c>
      <c r="V57" s="21">
        <f t="shared" si="15"/>
        <v>91</v>
      </c>
      <c r="W57" s="21">
        <f t="shared" si="15"/>
        <v>91</v>
      </c>
      <c r="X57" s="21">
        <f t="shared" si="15"/>
        <v>92</v>
      </c>
      <c r="Y57" s="21">
        <f t="shared" si="15"/>
        <v>92</v>
      </c>
      <c r="Z57" s="21">
        <f t="shared" si="15"/>
        <v>90</v>
      </c>
      <c r="AA57" s="21">
        <f t="shared" si="15"/>
        <v>91</v>
      </c>
      <c r="AB57" s="21">
        <f t="shared" si="15"/>
        <v>92</v>
      </c>
      <c r="AC57" s="21">
        <f t="shared" si="15"/>
        <v>92</v>
      </c>
    </row>
    <row r="58" spans="4:29" s="1" customFormat="1" x14ac:dyDescent="0.4">
      <c r="D58" s="22" t="s">
        <v>35</v>
      </c>
      <c r="G58" s="6" t="s">
        <v>36</v>
      </c>
      <c r="J58" s="18">
        <f t="shared" ref="J58:AC58" si="16">IF(J24=0,1, (1+DiscountRate.Project.PA)^(J57/365) * I58)</f>
        <v>1</v>
      </c>
      <c r="K58" s="18">
        <f t="shared" si="16"/>
        <v>1.024046836157096</v>
      </c>
      <c r="L58" s="18">
        <f t="shared" si="16"/>
        <v>1.0489457915753677</v>
      </c>
      <c r="M58" s="18">
        <f t="shared" si="16"/>
        <v>1.0744501470193331</v>
      </c>
      <c r="N58" s="18">
        <f t="shared" si="16"/>
        <v>1.1000000000000001</v>
      </c>
      <c r="O58" s="18">
        <f t="shared" si="16"/>
        <v>1.1264515197728058</v>
      </c>
      <c r="P58" s="18">
        <f t="shared" si="16"/>
        <v>1.1538403707329046</v>
      </c>
      <c r="Q58" s="18">
        <f t="shared" si="16"/>
        <v>1.1818951617212665</v>
      </c>
      <c r="R58" s="18">
        <f t="shared" si="16"/>
        <v>1.2100000000000002</v>
      </c>
      <c r="S58" s="18">
        <f t="shared" si="16"/>
        <v>1.2390966717500864</v>
      </c>
      <c r="T58" s="18">
        <f t="shared" si="16"/>
        <v>1.2692244078061952</v>
      </c>
      <c r="U58" s="18">
        <f t="shared" si="16"/>
        <v>1.3000846778933932</v>
      </c>
      <c r="V58" s="18">
        <f t="shared" si="16"/>
        <v>1.3313476011330465</v>
      </c>
      <c r="W58" s="18">
        <f t="shared" si="16"/>
        <v>1.3633622987656357</v>
      </c>
      <c r="X58" s="18">
        <f t="shared" si="16"/>
        <v>1.3965114633324704</v>
      </c>
      <c r="Y58" s="18">
        <f t="shared" si="16"/>
        <v>1.4304666257712384</v>
      </c>
      <c r="Z58" s="18">
        <f t="shared" si="16"/>
        <v>1.4644823612463513</v>
      </c>
      <c r="AA58" s="18">
        <f t="shared" si="16"/>
        <v>1.4996985286421995</v>
      </c>
      <c r="AB58" s="18">
        <f t="shared" si="16"/>
        <v>1.5361626096657177</v>
      </c>
      <c r="AC58" s="18">
        <f t="shared" si="16"/>
        <v>1.5735132883483625</v>
      </c>
    </row>
    <row r="59" spans="4:29" x14ac:dyDescent="0.4">
      <c r="D59" t="s">
        <v>31</v>
      </c>
      <c r="E59" s="1" t="s">
        <v>0</v>
      </c>
      <c r="G59" s="24">
        <f>SUM(J59:AC59)</f>
        <v>11.630791561623571</v>
      </c>
      <c r="J59" s="1">
        <f t="shared" ref="J59:AC59" si="17">J45/J58</f>
        <v>1E-4</v>
      </c>
      <c r="K59" s="1">
        <f t="shared" si="17"/>
        <v>-24.412945890069448</v>
      </c>
      <c r="L59" s="1">
        <f t="shared" si="17"/>
        <v>-23.833452787349046</v>
      </c>
      <c r="M59" s="1">
        <f t="shared" si="17"/>
        <v>-23.267715183764746</v>
      </c>
      <c r="N59" s="1">
        <f t="shared" si="17"/>
        <v>-22.727272727272727</v>
      </c>
      <c r="O59" s="1">
        <f t="shared" si="17"/>
        <v>9.4988553099542941</v>
      </c>
      <c r="P59" s="1">
        <f t="shared" si="17"/>
        <v>9.3522468737557674</v>
      </c>
      <c r="Q59" s="1">
        <f t="shared" si="17"/>
        <v>9.2434002218010995</v>
      </c>
      <c r="R59" s="1">
        <f t="shared" si="17"/>
        <v>9.1224722727272756</v>
      </c>
      <c r="S59" s="1">
        <f t="shared" si="17"/>
        <v>9.0004161749530809</v>
      </c>
      <c r="T59" s="1">
        <f t="shared" si="17"/>
        <v>8.8773222941531422</v>
      </c>
      <c r="U59" s="1">
        <f t="shared" si="17"/>
        <v>8.7555665276832677</v>
      </c>
      <c r="V59" s="1">
        <f t="shared" si="17"/>
        <v>8.6373972756306223</v>
      </c>
      <c r="W59" s="1">
        <f t="shared" si="17"/>
        <v>8.5204908241597437</v>
      </c>
      <c r="X59" s="1">
        <f t="shared" si="17"/>
        <v>8.4026466069610812</v>
      </c>
      <c r="Y59" s="1">
        <f t="shared" si="17"/>
        <v>8.2861129921794188</v>
      </c>
      <c r="Z59" s="1">
        <f t="shared" si="17"/>
        <v>8.1751507761207662</v>
      </c>
      <c r="AA59" s="1">
        <f t="shared" si="17"/>
        <v>0</v>
      </c>
      <c r="AB59" s="1">
        <f t="shared" si="17"/>
        <v>0</v>
      </c>
      <c r="AC59" s="1">
        <f t="shared" si="17"/>
        <v>0</v>
      </c>
    </row>
    <row r="60" spans="4:29" s="1" customFormat="1" x14ac:dyDescent="0.4"/>
    <row r="61" spans="4:29" x14ac:dyDescent="0.4">
      <c r="D61" s="12" t="s">
        <v>39</v>
      </c>
    </row>
    <row r="62" spans="4:29" x14ac:dyDescent="0.4"/>
    <row r="63" spans="4:29" x14ac:dyDescent="0.4">
      <c r="E63" s="25">
        <v>2.5000000000000001E-3</v>
      </c>
    </row>
    <row r="64" spans="4:29" x14ac:dyDescent="0.4">
      <c r="F64" s="28"/>
    </row>
    <row r="65" spans="5:7" s="1" customFormat="1" x14ac:dyDescent="0.4">
      <c r="E65" s="32" t="s">
        <v>40</v>
      </c>
      <c r="F65" s="6" t="s">
        <v>41</v>
      </c>
    </row>
    <row r="66" spans="5:7" s="1" customFormat="1" x14ac:dyDescent="0.4">
      <c r="E66" s="15"/>
      <c r="F66" s="34">
        <f>G52</f>
        <v>11.630791561623573</v>
      </c>
    </row>
    <row r="67" spans="5:7" x14ac:dyDescent="0.4">
      <c r="E67" s="26">
        <v>0.13</v>
      </c>
      <c r="F67" s="29">
        <f t="dataTable" ref="F67:F89" dt2D="0" dtr="0" r1="F19"/>
        <v>6.0922234772224302</v>
      </c>
      <c r="G67" s="1"/>
    </row>
    <row r="68" spans="5:7" x14ac:dyDescent="0.4">
      <c r="E68" s="26">
        <f>E67+$E$63</f>
        <v>0.13250000000000001</v>
      </c>
      <c r="F68" s="29">
        <v>5.659866669209646</v>
      </c>
      <c r="G68" s="1"/>
    </row>
    <row r="69" spans="5:7" x14ac:dyDescent="0.4">
      <c r="E69" s="26">
        <f t="shared" ref="E69:E89" si="18">E68+$E$63</f>
        <v>0.13500000000000001</v>
      </c>
      <c r="F69" s="29">
        <v>5.2317583183978202</v>
      </c>
      <c r="G69" s="1"/>
    </row>
    <row r="70" spans="5:7" x14ac:dyDescent="0.4">
      <c r="E70" s="26">
        <f t="shared" si="18"/>
        <v>0.13750000000000001</v>
      </c>
      <c r="F70" s="29">
        <v>4.8078491634370879</v>
      </c>
      <c r="G70" s="1"/>
    </row>
    <row r="71" spans="5:7" x14ac:dyDescent="0.4">
      <c r="E71" s="26">
        <f t="shared" si="18"/>
        <v>0.14000000000000001</v>
      </c>
      <c r="F71" s="29">
        <v>4.3880906211058708</v>
      </c>
      <c r="G71" s="1"/>
    </row>
    <row r="72" spans="5:7" x14ac:dyDescent="0.4">
      <c r="E72" s="26">
        <f t="shared" si="18"/>
        <v>0.14250000000000002</v>
      </c>
      <c r="F72" s="29">
        <v>3.9724347754667653</v>
      </c>
      <c r="G72" s="1"/>
    </row>
    <row r="73" spans="5:7" x14ac:dyDescent="0.4">
      <c r="E73" s="26">
        <f t="shared" si="18"/>
        <v>0.14500000000000002</v>
      </c>
      <c r="F73" s="29">
        <v>3.560834367218952</v>
      </c>
      <c r="G73" s="1"/>
    </row>
    <row r="74" spans="5:7" x14ac:dyDescent="0.4">
      <c r="E74" s="26">
        <f t="shared" si="18"/>
        <v>0.14750000000000002</v>
      </c>
      <c r="F74" s="29">
        <v>3.1532427832448882</v>
      </c>
      <c r="G74" s="1"/>
    </row>
    <row r="75" spans="5:7" x14ac:dyDescent="0.4">
      <c r="E75" s="26">
        <f t="shared" si="18"/>
        <v>0.15000000000000002</v>
      </c>
      <c r="F75" s="29">
        <v>2.749614046346176</v>
      </c>
      <c r="G75" s="1"/>
    </row>
    <row r="76" spans="5:7" x14ac:dyDescent="0.4">
      <c r="E76" s="26">
        <f t="shared" si="18"/>
        <v>0.15250000000000002</v>
      </c>
      <c r="F76" s="29">
        <v>2.3499028051654198</v>
      </c>
      <c r="G76" s="1"/>
    </row>
    <row r="77" spans="5:7" x14ac:dyDescent="0.4">
      <c r="E77" s="26">
        <f t="shared" si="18"/>
        <v>0.15500000000000003</v>
      </c>
      <c r="F77" s="29">
        <v>1.9540643242899201</v>
      </c>
      <c r="G77" s="1"/>
    </row>
    <row r="78" spans="5:7" x14ac:dyDescent="0.4">
      <c r="E78" s="26">
        <f t="shared" si="18"/>
        <v>0.15750000000000003</v>
      </c>
      <c r="F78" s="29">
        <v>1.5620544745333333</v>
      </c>
      <c r="G78" s="1"/>
    </row>
    <row r="79" spans="5:7" x14ac:dyDescent="0.4">
      <c r="E79" s="26">
        <f t="shared" si="18"/>
        <v>0.16000000000000003</v>
      </c>
      <c r="F79" s="29">
        <v>1.1738297233925126</v>
      </c>
      <c r="G79" s="1"/>
    </row>
    <row r="80" spans="5:7" x14ac:dyDescent="0.4">
      <c r="E80" s="26">
        <f t="shared" si="18"/>
        <v>0.16250000000000003</v>
      </c>
      <c r="F80" s="29">
        <v>0.78934712567522514</v>
      </c>
      <c r="G80" s="1"/>
    </row>
    <row r="81" spans="5:7" x14ac:dyDescent="0.4">
      <c r="E81" s="26">
        <f t="shared" si="18"/>
        <v>0.16500000000000004</v>
      </c>
      <c r="F81" s="29">
        <v>0.40856431429549289</v>
      </c>
      <c r="G81" s="1"/>
    </row>
    <row r="82" spans="5:7" x14ac:dyDescent="0.4">
      <c r="E82" s="26">
        <f t="shared" si="18"/>
        <v>0.16750000000000004</v>
      </c>
      <c r="F82" s="29">
        <v>3.1439491233275163E-2</v>
      </c>
      <c r="G82" s="1"/>
    </row>
    <row r="83" spans="5:7" x14ac:dyDescent="0.4">
      <c r="E83" s="26">
        <f t="shared" si="18"/>
        <v>0.17000000000000004</v>
      </c>
      <c r="F83" s="29">
        <v>-0.34206858134444662</v>
      </c>
      <c r="G83" s="1"/>
    </row>
    <row r="84" spans="5:7" x14ac:dyDescent="0.4">
      <c r="E84" s="26">
        <f t="shared" si="18"/>
        <v>0.17250000000000004</v>
      </c>
      <c r="F84" s="29">
        <v>-0.71200058980539715</v>
      </c>
      <c r="G84" s="1"/>
    </row>
    <row r="85" spans="5:7" x14ac:dyDescent="0.4">
      <c r="E85" s="26">
        <f t="shared" si="18"/>
        <v>0.17500000000000004</v>
      </c>
      <c r="F85" s="29">
        <v>-1.0783966776182172</v>
      </c>
      <c r="G85" s="1"/>
    </row>
    <row r="86" spans="5:7" x14ac:dyDescent="0.4">
      <c r="E86" s="26">
        <f t="shared" si="18"/>
        <v>0.17750000000000005</v>
      </c>
      <c r="F86" s="29">
        <v>-1.4412964537680457</v>
      </c>
      <c r="G86" s="1"/>
    </row>
    <row r="87" spans="5:7" x14ac:dyDescent="0.4">
      <c r="E87" s="26">
        <f t="shared" si="18"/>
        <v>0.18000000000000005</v>
      </c>
      <c r="F87" s="29">
        <v>-1.8007390010227367</v>
      </c>
      <c r="G87" s="1"/>
    </row>
    <row r="88" spans="5:7" x14ac:dyDescent="0.4">
      <c r="E88" s="26">
        <f t="shared" si="18"/>
        <v>0.18250000000000005</v>
      </c>
      <c r="F88" s="29">
        <v>-2.1567628840535082</v>
      </c>
      <c r="G88" s="1"/>
    </row>
    <row r="89" spans="5:7" x14ac:dyDescent="0.4">
      <c r="E89" s="27">
        <f t="shared" si="18"/>
        <v>0.18500000000000005</v>
      </c>
      <c r="F89" s="30">
        <v>-2.5094061574134594</v>
      </c>
      <c r="G89" s="1"/>
    </row>
    <row r="90" spans="5:7" x14ac:dyDescent="0.4"/>
    <row r="91" spans="5:7" x14ac:dyDescent="0.4"/>
    <row r="92" spans="5:7" x14ac:dyDescent="0.4"/>
    <row r="93" spans="5:7" x14ac:dyDescent="0.4"/>
  </sheetData>
  <conditionalFormatting sqref="K27:AC27">
    <cfRule type="cellIs" dxfId="2" priority="9" operator="equal">
      <formula>1</formula>
    </cfRule>
  </conditionalFormatting>
  <conditionalFormatting sqref="K29:AC29">
    <cfRule type="cellIs" dxfId="1" priority="8" operator="equal">
      <formula>1</formula>
    </cfRule>
  </conditionalFormatting>
  <conditionalFormatting sqref="K28:AC28">
    <cfRule type="cellIs" dxfId="0" priority="7" operator="equal">
      <formula>1</formula>
    </cfRule>
  </conditionalFormatting>
  <pageMargins left="0.7" right="0.7" top="0.75" bottom="0.75" header="0.3" footer="0.3"/>
  <pageSetup paperSize="9" scale="66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8</vt:i4>
      </vt:variant>
    </vt:vector>
  </HeadingPairs>
  <TitlesOfParts>
    <vt:vector size="10" baseType="lpstr">
      <vt:lpstr>Cover</vt:lpstr>
      <vt:lpstr>Project return</vt:lpstr>
      <vt:lpstr>Constant.Number.Tiny</vt:lpstr>
      <vt:lpstr>Constants.MonthsInQuarter</vt:lpstr>
      <vt:lpstr>Constants.QuartersInYear</vt:lpstr>
      <vt:lpstr>Date.Construction.End</vt:lpstr>
      <vt:lpstr>Date.Project.End</vt:lpstr>
      <vt:lpstr>DiscountRate.Project.PA</vt:lpstr>
      <vt:lpstr>DiscountRate.Project.PQ</vt:lpstr>
      <vt:lpstr>Tolerance.Tests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Crawley</dc:creator>
  <cp:lastModifiedBy>Nick Crawley</cp:lastModifiedBy>
  <cp:lastPrinted>2016-10-31T02:42:36Z</cp:lastPrinted>
  <dcterms:created xsi:type="dcterms:W3CDTF">2016-02-12T04:56:13Z</dcterms:created>
  <dcterms:modified xsi:type="dcterms:W3CDTF">2017-07-13T05:05:20Z</dcterms:modified>
</cp:coreProperties>
</file>